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695fb6f350cd02f/바탕 화면/업무 관련 자료/회사 업무 관련/공급공고/2024/유치원^J 준주거/공급게시요청/"/>
    </mc:Choice>
  </mc:AlternateContent>
  <xr:revisionPtr revIDLastSave="2" documentId="8_{8DB37385-E6A5-43FD-8B1F-5AD532348DCB}" xr6:coauthVersionLast="47" xr6:coauthVersionMax="47" xr10:uidLastSave="{85F3EE3F-4C99-4374-89F1-B38A61A2C88C}"/>
  <bookViews>
    <workbookView xWindow="-28920" yWindow="-120" windowWidth="29040" windowHeight="15840" tabRatio="859" firstSheet="5" activeTab="5" xr2:uid="{00000000-000D-0000-FFFF-FFFF00000000}"/>
  </bookViews>
  <sheets>
    <sheet name="개별요인표(답)" sheetId="26" state="hidden" r:id="rId1"/>
    <sheet name="개별요인표(전)" sheetId="27" state="hidden" r:id="rId2"/>
    <sheet name="개별요인표(임야)" sheetId="28" state="hidden" r:id="rId3"/>
    <sheet name="개별요인표(상업)" sheetId="29" state="hidden" r:id="rId4"/>
    <sheet name="개별요인표(주택)" sheetId="30" state="hidden" r:id="rId5"/>
    <sheet name="준주거,유치원" sheetId="2" r:id="rId6"/>
    <sheet name="가격산출근거(가로)" sheetId="12" state="hidden" r:id="rId7"/>
    <sheet name="가격산출근거(가로)-지번2개" sheetId="16" state="hidden" r:id="rId8"/>
    <sheet name="회보서(영암군청용)" sheetId="22" state="hidden" r:id="rId9"/>
    <sheet name="회보서(중토위)" sheetId="23" state="hidden" r:id="rId10"/>
    <sheet name="수수료계산(종가)" sheetId="4" state="hidden" r:id="rId11"/>
    <sheet name="수수료청구서" sheetId="13" state="hidden" r:id="rId12"/>
    <sheet name="할인.할증표" sheetId="14" state="hidden" r:id="rId13"/>
  </sheets>
  <definedNames>
    <definedName name="_xlnm._FilterDatabase" localSheetId="6" hidden="1">'가격산출근거(가로)'!$A$2:$V$19</definedName>
    <definedName name="_xlnm._FilterDatabase" localSheetId="7" hidden="1">'가격산출근거(가로)-지번2개'!$A$2:$W$19</definedName>
    <definedName name="_xlnm._FilterDatabase" localSheetId="5" hidden="1">'준주거,유치원'!$A$3:$J$3</definedName>
    <definedName name="_xlnm.Print_Area" localSheetId="6">'가격산출근거(가로)'!$A$1:$T$19</definedName>
    <definedName name="_xlnm.Print_Area" localSheetId="7">'가격산출근거(가로)-지번2개'!$A$1:$U$19</definedName>
    <definedName name="_xlnm.Print_Area" localSheetId="0">'개별요인표(답)'!$C$2:$L$22</definedName>
    <definedName name="_xlnm.Print_Area" localSheetId="3">'개별요인표(상업)'!$C$2:$L$36</definedName>
    <definedName name="_xlnm.Print_Area" localSheetId="2">'개별요인표(임야)'!$C$2:$L$24</definedName>
    <definedName name="_xlnm.Print_Area" localSheetId="1">'개별요인표(전)'!$C$2:$L$21</definedName>
    <definedName name="_xlnm.Print_Area" localSheetId="4">'개별요인표(주택)'!$C$2:$L$28</definedName>
    <definedName name="_xlnm.Print_Area" localSheetId="5">'준주거,유치원'!$A$2:$J$7</definedName>
    <definedName name="_xlnm.Print_Area" localSheetId="8">'회보서(영암군청용)'!$A$1:$Q$42</definedName>
    <definedName name="_xlnm.Print_Area" localSheetId="9">'회보서(중토위)'!$A$1:$Q$43</definedName>
    <definedName name="_xlnm.Print_Titles" localSheetId="6">'가격산출근거(가로)'!$1:$2</definedName>
    <definedName name="_xlnm.Print_Titles" localSheetId="7">'가격산출근거(가로)-지번2개'!$1:$2</definedName>
    <definedName name="_xlnm.Print_Titles" localSheetId="5">'준주거,유치원'!$2:$3</definedName>
    <definedName name="미지급">'준주거,유치원'!#REF!</definedName>
    <definedName name="사용료">'준주거,유치원'!#REF!</definedName>
    <definedName name="토지이용상황">'준주거,유치원'!#REF!</definedName>
    <definedName name="표준지">'준주거,유치원'!#REF!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2" l="1"/>
  <c r="H7" i="2"/>
  <c r="O8" i="30" l="1"/>
  <c r="I26" i="30"/>
  <c r="I24" i="30"/>
  <c r="N24" i="30" s="1"/>
  <c r="Q24" i="30" s="1"/>
  <c r="K24" i="30" s="1"/>
  <c r="I18" i="30"/>
  <c r="P18" i="30" s="1"/>
  <c r="I11" i="30"/>
  <c r="N11" i="30" s="1"/>
  <c r="Q11" i="30" s="1"/>
  <c r="K11" i="30" s="1"/>
  <c r="I8" i="30"/>
  <c r="N8" i="30" s="1"/>
  <c r="Q8" i="30" s="1"/>
  <c r="K8" i="30" s="1"/>
  <c r="I5" i="30"/>
  <c r="H4" i="30"/>
  <c r="I4" i="30"/>
  <c r="I34" i="29"/>
  <c r="P34" i="29" s="1"/>
  <c r="I30" i="29"/>
  <c r="P30" i="29" s="1"/>
  <c r="I17" i="29"/>
  <c r="N17" i="29" s="1"/>
  <c r="Q17" i="29" s="1"/>
  <c r="K17" i="29" s="1"/>
  <c r="I12" i="29"/>
  <c r="I9" i="29"/>
  <c r="N9" i="29"/>
  <c r="Q9" i="29" s="1"/>
  <c r="K9" i="29" s="1"/>
  <c r="I5" i="29"/>
  <c r="P5" i="29" s="1"/>
  <c r="H4" i="29"/>
  <c r="I4" i="29"/>
  <c r="I4" i="28"/>
  <c r="H4" i="28"/>
  <c r="I22" i="28"/>
  <c r="P22" i="28"/>
  <c r="I18" i="28"/>
  <c r="N18" i="28"/>
  <c r="Q18" i="28" s="1"/>
  <c r="K18" i="28" s="1"/>
  <c r="I11" i="28"/>
  <c r="P11" i="28" s="1"/>
  <c r="I5" i="28"/>
  <c r="N5" i="28"/>
  <c r="Q5" i="28" s="1"/>
  <c r="K5" i="28" s="1"/>
  <c r="I19" i="27"/>
  <c r="N19" i="27" s="1"/>
  <c r="Q19" i="27" s="1"/>
  <c r="K19" i="27" s="1"/>
  <c r="I16" i="27"/>
  <c r="P16" i="27"/>
  <c r="I11" i="27"/>
  <c r="N11" i="27"/>
  <c r="Q11" i="27" s="1"/>
  <c r="K11" i="27" s="1"/>
  <c r="I7" i="27"/>
  <c r="I4" i="27"/>
  <c r="I5" i="27"/>
  <c r="I20" i="26"/>
  <c r="I22" i="26" s="1"/>
  <c r="I17" i="26"/>
  <c r="N17" i="26" s="1"/>
  <c r="Q17" i="26" s="1"/>
  <c r="K17" i="26" s="1"/>
  <c r="I13" i="26"/>
  <c r="P13" i="26" s="1"/>
  <c r="I7" i="26"/>
  <c r="N7" i="26" s="1"/>
  <c r="Q7" i="26" s="1"/>
  <c r="K7" i="26" s="1"/>
  <c r="I5" i="26"/>
  <c r="P5" i="26"/>
  <c r="N5" i="26"/>
  <c r="Q5" i="26" s="1"/>
  <c r="K5" i="26" s="1"/>
  <c r="H4" i="26"/>
  <c r="I4" i="26"/>
  <c r="P15" i="26"/>
  <c r="P11" i="26"/>
  <c r="P9" i="26"/>
  <c r="N15" i="26"/>
  <c r="N11" i="26"/>
  <c r="Q11" i="26" s="1"/>
  <c r="N9" i="26"/>
  <c r="Q9" i="26" s="1"/>
  <c r="D8" i="22"/>
  <c r="C20" i="4"/>
  <c r="B17" i="23"/>
  <c r="B19" i="22"/>
  <c r="B20" i="23"/>
  <c r="B14" i="23"/>
  <c r="B22" i="22"/>
  <c r="B16" i="22"/>
  <c r="B41" i="23"/>
  <c r="B40" i="22"/>
  <c r="D9" i="22"/>
  <c r="Q19" i="16"/>
  <c r="S19" i="16" s="1"/>
  <c r="T19" i="16" s="1"/>
  <c r="Q18" i="16"/>
  <c r="S18" i="16" s="1"/>
  <c r="T18" i="16" s="1"/>
  <c r="Q17" i="16"/>
  <c r="S17" i="16"/>
  <c r="T17" i="16"/>
  <c r="Q16" i="16"/>
  <c r="S16" i="16" s="1"/>
  <c r="T16" i="16" s="1"/>
  <c r="Q15" i="16"/>
  <c r="S15" i="16" s="1"/>
  <c r="T15" i="16" s="1"/>
  <c r="Q14" i="16"/>
  <c r="S14" i="16" s="1"/>
  <c r="T14" i="16" s="1"/>
  <c r="Q13" i="16"/>
  <c r="S13" i="16"/>
  <c r="T13" i="16" s="1"/>
  <c r="Q12" i="16"/>
  <c r="S12" i="16" s="1"/>
  <c r="T12" i="16" s="1"/>
  <c r="Q11" i="16"/>
  <c r="S11" i="16" s="1"/>
  <c r="T11" i="16" s="1"/>
  <c r="Q10" i="16"/>
  <c r="S10" i="16" s="1"/>
  <c r="T10" i="16" s="1"/>
  <c r="Q9" i="16"/>
  <c r="S9" i="16" s="1"/>
  <c r="T9" i="16" s="1"/>
  <c r="Q8" i="16"/>
  <c r="S8" i="16" s="1"/>
  <c r="T8" i="16" s="1"/>
  <c r="Q7" i="16"/>
  <c r="S7" i="16" s="1"/>
  <c r="T7" i="16" s="1"/>
  <c r="Q6" i="16"/>
  <c r="S6" i="16" s="1"/>
  <c r="T6" i="16" s="1"/>
  <c r="Q5" i="16"/>
  <c r="S5" i="16" s="1"/>
  <c r="T5" i="16" s="1"/>
  <c r="Q4" i="16"/>
  <c r="S4" i="16" s="1"/>
  <c r="T4" i="16" s="1"/>
  <c r="Q3" i="16"/>
  <c r="S3" i="16" s="1"/>
  <c r="T3" i="16" s="1"/>
  <c r="P19" i="12"/>
  <c r="R19" i="12" s="1"/>
  <c r="S19" i="12" s="1"/>
  <c r="P18" i="12"/>
  <c r="R18" i="12" s="1"/>
  <c r="S18" i="12" s="1"/>
  <c r="P17" i="12"/>
  <c r="R17" i="12" s="1"/>
  <c r="S17" i="12" s="1"/>
  <c r="P16" i="12"/>
  <c r="R16" i="12" s="1"/>
  <c r="S16" i="12" s="1"/>
  <c r="P15" i="12"/>
  <c r="P14" i="12"/>
  <c r="P13" i="12"/>
  <c r="R13" i="12" s="1"/>
  <c r="S13" i="12" s="1"/>
  <c r="P12" i="12"/>
  <c r="R12" i="12"/>
  <c r="S12" i="12"/>
  <c r="P11" i="12"/>
  <c r="R11" i="12" s="1"/>
  <c r="S11" i="12" s="1"/>
  <c r="P10" i="12"/>
  <c r="R10" i="12" s="1"/>
  <c r="S10" i="12" s="1"/>
  <c r="P9" i="12"/>
  <c r="P8" i="12"/>
  <c r="R8" i="12" s="1"/>
  <c r="S8" i="12" s="1"/>
  <c r="P7" i="12"/>
  <c r="R7" i="12" s="1"/>
  <c r="S7" i="12" s="1"/>
  <c r="P6" i="12"/>
  <c r="R6" i="12" s="1"/>
  <c r="S6" i="12" s="1"/>
  <c r="P5" i="12"/>
  <c r="R5" i="12"/>
  <c r="S5" i="12" s="1"/>
  <c r="P4" i="12"/>
  <c r="R4" i="12" s="1"/>
  <c r="S4" i="12" s="1"/>
  <c r="P3" i="12"/>
  <c r="R3" i="12" s="1"/>
  <c r="S3" i="12" s="1"/>
  <c r="C13" i="13"/>
  <c r="C17" i="13" s="1"/>
  <c r="R15" i="12"/>
  <c r="S15" i="12" s="1"/>
  <c r="R14" i="12"/>
  <c r="S14" i="12" s="1"/>
  <c r="R9" i="12"/>
  <c r="S9" i="12" s="1"/>
  <c r="C16" i="4"/>
  <c r="E22" i="4"/>
  <c r="C22" i="4"/>
  <c r="H21" i="4"/>
  <c r="H22" i="4"/>
  <c r="H23" i="4"/>
  <c r="H27" i="4" s="1"/>
  <c r="H10" i="4"/>
  <c r="H11" i="4"/>
  <c r="H12" i="4" s="1"/>
  <c r="C18" i="13"/>
  <c r="C19" i="13" s="1"/>
  <c r="C20" i="13" s="1"/>
  <c r="C22" i="13" s="1"/>
  <c r="E4" i="13" s="1"/>
  <c r="A4" i="13" s="1"/>
  <c r="C7" i="4"/>
  <c r="C8" i="4"/>
  <c r="C5" i="4"/>
  <c r="C6" i="4"/>
  <c r="E5" i="4" s="1"/>
  <c r="H4" i="27"/>
  <c r="N30" i="29"/>
  <c r="Q30" i="29" s="1"/>
  <c r="K30" i="29" s="1"/>
  <c r="C4" i="4"/>
  <c r="C10" i="4" s="1"/>
  <c r="N18" i="30"/>
  <c r="Q18" i="30" s="1"/>
  <c r="K18" i="30" s="1"/>
  <c r="P7" i="26"/>
  <c r="P17" i="26"/>
  <c r="P7" i="27"/>
  <c r="N7" i="27"/>
  <c r="Q7" i="27" s="1"/>
  <c r="K7" i="27" s="1"/>
  <c r="P11" i="27"/>
  <c r="P12" i="29"/>
  <c r="N12" i="29"/>
  <c r="Q12" i="29" s="1"/>
  <c r="K12" i="29" s="1"/>
  <c r="P24" i="30"/>
  <c r="N26" i="30"/>
  <c r="Q26" i="30"/>
  <c r="K26" i="30" s="1"/>
  <c r="P26" i="30"/>
  <c r="N5" i="30"/>
  <c r="Q5" i="30" s="1"/>
  <c r="K5" i="30" s="1"/>
  <c r="P5" i="30"/>
  <c r="N16" i="27"/>
  <c r="Q16" i="27" s="1"/>
  <c r="K16" i="27" s="1"/>
  <c r="C2" i="4"/>
  <c r="E2" i="4"/>
  <c r="N20" i="26"/>
  <c r="Q20" i="26"/>
  <c r="K20" i="26" s="1"/>
  <c r="C3" i="4"/>
  <c r="E21" i="4"/>
  <c r="C21" i="4" s="1"/>
  <c r="P5" i="27"/>
  <c r="N5" i="27"/>
  <c r="Q5" i="27" s="1"/>
  <c r="K5" i="27" s="1"/>
  <c r="I21" i="27"/>
  <c r="N34" i="29"/>
  <c r="Q34" i="29" s="1"/>
  <c r="K34" i="29" s="1"/>
  <c r="N5" i="29"/>
  <c r="Q5" i="29" s="1"/>
  <c r="K5" i="29" s="1"/>
  <c r="P9" i="29"/>
  <c r="N22" i="28"/>
  <c r="Q22" i="28" s="1"/>
  <c r="K22" i="28" s="1"/>
  <c r="P8" i="30"/>
  <c r="P18" i="28"/>
  <c r="H13" i="4" l="1"/>
  <c r="H14" i="4"/>
  <c r="H17" i="4" s="1"/>
  <c r="H19" i="4" s="1"/>
  <c r="H15" i="4"/>
  <c r="Q15" i="26"/>
  <c r="N13" i="26"/>
  <c r="Q13" i="26" s="1"/>
  <c r="K13" i="26" s="1"/>
  <c r="P19" i="27"/>
  <c r="P20" i="26"/>
  <c r="C11" i="4"/>
  <c r="C12" i="4" s="1"/>
  <c r="C13" i="4" s="1"/>
  <c r="I24" i="28"/>
  <c r="H28" i="4"/>
  <c r="H29" i="4" s="1"/>
  <c r="H30" i="4" s="1"/>
  <c r="P11" i="30"/>
  <c r="P17" i="29"/>
  <c r="I36" i="29"/>
  <c r="I28" i="30"/>
  <c r="P5" i="28"/>
  <c r="N11" i="28"/>
  <c r="Q11" i="28" s="1"/>
  <c r="K11" i="28" s="1"/>
  <c r="C23" i="4"/>
  <c r="C27" i="4" s="1"/>
  <c r="I7" i="2"/>
  <c r="C14" i="4" l="1"/>
  <c r="C17" i="4" s="1"/>
  <c r="C19" i="4" s="1"/>
  <c r="C28" i="4" s="1"/>
  <c r="C29" i="4" s="1"/>
  <c r="C30" i="4" s="1"/>
  <c r="C15" i="4"/>
</calcChain>
</file>

<file path=xl/sharedStrings.xml><?xml version="1.0" encoding="utf-8"?>
<sst xmlns="http://schemas.openxmlformats.org/spreadsheetml/2006/main" count="604" uniqueCount="323">
  <si>
    <t>일련
번호</t>
    <phoneticPr fontId="3" type="noConversion"/>
  </si>
  <si>
    <t>감 정 평 가 액</t>
    <phoneticPr fontId="3" type="noConversion"/>
  </si>
  <si>
    <t>소 재 지</t>
    <phoneticPr fontId="3" type="noConversion"/>
  </si>
  <si>
    <t>지 번</t>
    <phoneticPr fontId="3" type="noConversion"/>
  </si>
  <si>
    <t>지 목</t>
    <phoneticPr fontId="3" type="noConversion"/>
  </si>
  <si>
    <t>면 적
(㎡)</t>
    <phoneticPr fontId="3" type="noConversion"/>
  </si>
  <si>
    <t>단 가</t>
    <phoneticPr fontId="3" type="noConversion"/>
  </si>
  <si>
    <t>금 액</t>
    <phoneticPr fontId="3" type="noConversion"/>
  </si>
  <si>
    <t>비 고</t>
    <phoneticPr fontId="3" type="noConversion"/>
  </si>
  <si>
    <t>합    계</t>
    <phoneticPr fontId="3" type="noConversion"/>
  </si>
  <si>
    <t>1배 토지</t>
    <phoneticPr fontId="3" type="noConversion"/>
  </si>
  <si>
    <t>1.5배 토지</t>
    <phoneticPr fontId="3" type="noConversion"/>
  </si>
  <si>
    <t>1배 지장물</t>
    <phoneticPr fontId="3" type="noConversion"/>
  </si>
  <si>
    <t>수목</t>
    <phoneticPr fontId="3" type="noConversion"/>
  </si>
  <si>
    <t>영업권, 축산업</t>
    <phoneticPr fontId="3" type="noConversion"/>
  </si>
  <si>
    <t>1.5배</t>
    <phoneticPr fontId="3" type="noConversion"/>
  </si>
  <si>
    <t>1배</t>
    <phoneticPr fontId="3" type="noConversion"/>
  </si>
  <si>
    <t>합계</t>
    <phoneticPr fontId="3" type="noConversion"/>
  </si>
  <si>
    <t>평가수수료</t>
    <phoneticPr fontId="3" type="noConversion"/>
  </si>
  <si>
    <t>1.5배</t>
    <phoneticPr fontId="3" type="noConversion"/>
  </si>
  <si>
    <t>영업권(건)</t>
    <phoneticPr fontId="3" type="noConversion"/>
  </si>
  <si>
    <t>토지조사비</t>
    <phoneticPr fontId="3" type="noConversion"/>
  </si>
  <si>
    <t>물건조사비</t>
    <phoneticPr fontId="3" type="noConversion"/>
  </si>
  <si>
    <t>공부발급비</t>
    <phoneticPr fontId="3" type="noConversion"/>
  </si>
  <si>
    <t>기타실비</t>
    <phoneticPr fontId="3" type="noConversion"/>
  </si>
  <si>
    <t>특별용역비</t>
    <phoneticPr fontId="3" type="noConversion"/>
  </si>
  <si>
    <t>실비 소계</t>
    <phoneticPr fontId="3" type="noConversion"/>
  </si>
  <si>
    <t>부가가치세</t>
    <phoneticPr fontId="3" type="noConversion"/>
  </si>
  <si>
    <t>정산청구액</t>
    <phoneticPr fontId="3" type="noConversion"/>
  </si>
  <si>
    <t>합     계</t>
    <phoneticPr fontId="3" type="noConversion"/>
  </si>
  <si>
    <t>평가순수수료</t>
    <phoneticPr fontId="3" type="noConversion"/>
  </si>
  <si>
    <t>여비</t>
    <phoneticPr fontId="3" type="noConversion"/>
  </si>
  <si>
    <t>조사비</t>
    <phoneticPr fontId="3" type="noConversion"/>
  </si>
  <si>
    <t>평가총액</t>
    <phoneticPr fontId="3" type="noConversion"/>
  </si>
  <si>
    <t>합계</t>
    <phoneticPr fontId="3" type="noConversion"/>
  </si>
  <si>
    <t>기호</t>
    <phoneticPr fontId="3" type="noConversion"/>
  </si>
  <si>
    <t>공시지가
(원/㎡)</t>
    <phoneticPr fontId="3" type="noConversion"/>
  </si>
  <si>
    <t>비고</t>
    <phoneticPr fontId="3" type="noConversion"/>
  </si>
  <si>
    <t>=</t>
    <phoneticPr fontId="6" type="noConversion"/>
  </si>
  <si>
    <t>상대방</t>
    <phoneticPr fontId="3" type="noConversion"/>
  </si>
  <si>
    <t>지장물 합계</t>
    <phoneticPr fontId="3" type="noConversion"/>
  </si>
  <si>
    <t>A</t>
    <phoneticPr fontId="3" type="noConversion"/>
  </si>
  <si>
    <t>소재지</t>
    <phoneticPr fontId="3" type="noConversion"/>
  </si>
  <si>
    <t>지목</t>
    <phoneticPr fontId="3" type="noConversion"/>
  </si>
  <si>
    <t>시점수정</t>
    <phoneticPr fontId="3" type="noConversion"/>
  </si>
  <si>
    <t>:</t>
    <phoneticPr fontId="3" type="noConversion"/>
  </si>
  <si>
    <t>비교표준지</t>
    <phoneticPr fontId="3" type="noConversion"/>
  </si>
  <si>
    <t>지역
요인</t>
    <phoneticPr fontId="3" type="noConversion"/>
  </si>
  <si>
    <t>기타
요인</t>
    <phoneticPr fontId="3" type="noConversion"/>
  </si>
  <si>
    <t>적용단가
(원/㎡)</t>
    <phoneticPr fontId="3" type="noConversion"/>
  </si>
  <si>
    <t>B</t>
    <phoneticPr fontId="3" type="noConversion"/>
  </si>
  <si>
    <t>C</t>
    <phoneticPr fontId="3" type="noConversion"/>
  </si>
  <si>
    <t>기타</t>
    <phoneticPr fontId="3" type="noConversion"/>
  </si>
  <si>
    <t>D</t>
    <phoneticPr fontId="3" type="noConversion"/>
  </si>
  <si>
    <t>일련
번호</t>
    <phoneticPr fontId="3" type="noConversion"/>
  </si>
  <si>
    <t>소재지</t>
    <phoneticPr fontId="3" type="noConversion"/>
  </si>
  <si>
    <t>지목</t>
    <phoneticPr fontId="3" type="noConversion"/>
  </si>
  <si>
    <t>비교표준지</t>
    <phoneticPr fontId="3" type="noConversion"/>
  </si>
  <si>
    <t>시점수정</t>
    <phoneticPr fontId="3" type="noConversion"/>
  </si>
  <si>
    <t>지역
요인</t>
    <phoneticPr fontId="3" type="noConversion"/>
  </si>
  <si>
    <t>개 별 요 인</t>
    <phoneticPr fontId="3" type="noConversion"/>
  </si>
  <si>
    <t>기타
요인</t>
    <phoneticPr fontId="3" type="noConversion"/>
  </si>
  <si>
    <t>산출단가
(원/㎡)</t>
    <phoneticPr fontId="3" type="noConversion"/>
  </si>
  <si>
    <t>적용단가
(원/㎡)</t>
    <phoneticPr fontId="3" type="noConversion"/>
  </si>
  <si>
    <t>비고</t>
    <phoneticPr fontId="3" type="noConversion"/>
  </si>
  <si>
    <t>기호</t>
    <phoneticPr fontId="3" type="noConversion"/>
  </si>
  <si>
    <t>가로</t>
    <phoneticPr fontId="3" type="noConversion"/>
  </si>
  <si>
    <t>접근</t>
    <phoneticPr fontId="3" type="noConversion"/>
  </si>
  <si>
    <t>획지</t>
    <phoneticPr fontId="3" type="noConversion"/>
  </si>
  <si>
    <t>행정</t>
    <phoneticPr fontId="3" type="noConversion"/>
  </si>
  <si>
    <t>기타</t>
    <phoneticPr fontId="3" type="noConversion"/>
  </si>
  <si>
    <t>누계</t>
    <phoneticPr fontId="3" type="noConversion"/>
  </si>
  <si>
    <t>지 번</t>
    <phoneticPr fontId="3" type="noConversion"/>
  </si>
  <si>
    <t>한계리</t>
    <phoneticPr fontId="3" type="noConversion"/>
  </si>
  <si>
    <t>한계리</t>
    <phoneticPr fontId="3" type="noConversion"/>
  </si>
  <si>
    <t>산110</t>
  </si>
  <si>
    <t>산144-10</t>
  </si>
  <si>
    <t>818-1</t>
  </si>
  <si>
    <t>산118</t>
  </si>
  <si>
    <t>답</t>
  </si>
  <si>
    <t>임</t>
  </si>
  <si>
    <t>전</t>
  </si>
  <si>
    <t>환경</t>
    <phoneticPr fontId="3" type="noConversion"/>
  </si>
  <si>
    <t>자연</t>
    <phoneticPr fontId="3" type="noConversion"/>
  </si>
  <si>
    <t>d</t>
  </si>
  <si>
    <t>A</t>
    <phoneticPr fontId="3" type="noConversion"/>
  </si>
  <si>
    <t>D</t>
    <phoneticPr fontId="3" type="noConversion"/>
  </si>
  <si>
    <t>B</t>
    <phoneticPr fontId="3" type="noConversion"/>
  </si>
  <si>
    <t>C</t>
    <phoneticPr fontId="3" type="noConversion"/>
  </si>
  <si>
    <t>수  수  료  청  구  서</t>
    <phoneticPr fontId="6" type="noConversion"/>
  </si>
  <si>
    <t>감정평가서
번      호</t>
    <phoneticPr fontId="6" type="noConversion"/>
  </si>
  <si>
    <t>구례군수</t>
    <phoneticPr fontId="6" type="noConversion"/>
  </si>
  <si>
    <t xml:space="preserve">  감정평가가 완료 되었으므로 상기 금액을 「감정평가업자의 보수에 관한 기준」에 의거 청구 </t>
    <phoneticPr fontId="6" type="noConversion"/>
  </si>
  <si>
    <t>하오니 정산하여 주시기 바랍니다.</t>
    <phoneticPr fontId="6" type="noConversion"/>
  </si>
  <si>
    <t>-   청     구     내     역   -</t>
    <phoneticPr fontId="6" type="noConversion"/>
  </si>
  <si>
    <t>과        목</t>
    <phoneticPr fontId="6" type="noConversion"/>
  </si>
  <si>
    <t>금        액</t>
    <phoneticPr fontId="6" type="noConversion"/>
  </si>
  <si>
    <t>비        고</t>
    <phoneticPr fontId="6" type="noConversion"/>
  </si>
  <si>
    <t>평 가 수 수 료</t>
    <phoneticPr fontId="6" type="noConversion"/>
  </si>
  <si>
    <t xml:space="preserve">
 </t>
    <phoneticPr fontId="6" type="noConversion"/>
  </si>
  <si>
    <t>실
비</t>
    <phoneticPr fontId="6" type="noConversion"/>
  </si>
  <si>
    <t>여          비</t>
    <phoneticPr fontId="6" type="noConversion"/>
  </si>
  <si>
    <t xml:space="preserve"> 토지조사비  10필지 X 15,000원</t>
    <phoneticPr fontId="6" type="noConversion"/>
  </si>
  <si>
    <t>물 건 조 사 비</t>
    <phoneticPr fontId="6" type="noConversion"/>
  </si>
  <si>
    <t xml:space="preserve"> 물건조사비   3동 X 3,000원</t>
    <phoneticPr fontId="6" type="noConversion"/>
  </si>
  <si>
    <t>공 부 발 급 비</t>
    <phoneticPr fontId="6" type="noConversion"/>
  </si>
  <si>
    <t>기  타  실  비</t>
    <phoneticPr fontId="6" type="noConversion"/>
  </si>
  <si>
    <t>특 별 용 역 비</t>
    <phoneticPr fontId="6" type="noConversion"/>
  </si>
  <si>
    <t>소          계</t>
    <phoneticPr fontId="6" type="noConversion"/>
  </si>
  <si>
    <t>합                계</t>
    <phoneticPr fontId="6" type="noConversion"/>
  </si>
  <si>
    <t>※ 1,000원 미만 절사</t>
    <phoneticPr fontId="6" type="noConversion"/>
  </si>
  <si>
    <t>부   가   가   치   세</t>
    <phoneticPr fontId="6" type="noConversion"/>
  </si>
  <si>
    <t>총                계</t>
    <phoneticPr fontId="6" type="noConversion"/>
  </si>
  <si>
    <t>기  납  부  착  수  금</t>
    <phoneticPr fontId="6" type="noConversion"/>
  </si>
  <si>
    <t>정  산    청  구  액</t>
    <phoneticPr fontId="6" type="noConversion"/>
  </si>
  <si>
    <t>★   계      좌      번      호   ★</t>
    <phoneticPr fontId="6" type="noConversion"/>
  </si>
  <si>
    <r>
      <t>㈜</t>
    </r>
    <r>
      <rPr>
        <b/>
        <sz val="18"/>
        <rFont val="굴림체"/>
        <family val="3"/>
        <charset val="129"/>
      </rPr>
      <t>가온감정평가법인 광주전남지사</t>
    </r>
    <phoneticPr fontId="6" type="noConversion"/>
  </si>
  <si>
    <r>
      <t>TEL. : (06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 xml:space="preserve">) </t>
    </r>
    <r>
      <rPr>
        <sz val="10"/>
        <rFont val="굴림체"/>
        <family val="3"/>
        <charset val="129"/>
      </rPr>
      <t>981</t>
    </r>
    <r>
      <rPr>
        <sz val="10"/>
        <rFont val="굴림체"/>
        <family val="3"/>
        <charset val="129"/>
      </rPr>
      <t>-</t>
    </r>
    <r>
      <rPr>
        <sz val="10"/>
        <rFont val="굴림체"/>
        <family val="3"/>
        <charset val="129"/>
      </rPr>
      <t>4500</t>
    </r>
    <r>
      <rPr>
        <sz val="10"/>
        <rFont val="굴림체"/>
        <family val="3"/>
        <charset val="129"/>
      </rPr>
      <t>(代)     FAX. : (06</t>
    </r>
    <r>
      <rPr>
        <sz val="10"/>
        <rFont val="굴림체"/>
        <family val="3"/>
        <charset val="129"/>
      </rPr>
      <t>1</t>
    </r>
    <r>
      <rPr>
        <sz val="10"/>
        <rFont val="굴림체"/>
        <family val="3"/>
        <charset val="129"/>
      </rPr>
      <t xml:space="preserve">) </t>
    </r>
    <r>
      <rPr>
        <sz val="10"/>
        <rFont val="굴림체"/>
        <family val="3"/>
        <charset val="129"/>
      </rPr>
      <t>807</t>
    </r>
    <r>
      <rPr>
        <sz val="10"/>
        <rFont val="굴림체"/>
        <family val="3"/>
        <charset val="129"/>
      </rPr>
      <t>-</t>
    </r>
    <r>
      <rPr>
        <sz val="10"/>
        <rFont val="굴림체"/>
        <family val="3"/>
        <charset val="129"/>
      </rPr>
      <t>4500</t>
    </r>
    <r>
      <rPr>
        <sz val="10"/>
        <rFont val="굴림체"/>
        <family val="3"/>
        <charset val="129"/>
      </rPr>
      <t>(代)</t>
    </r>
    <phoneticPr fontId="6" type="noConversion"/>
  </si>
  <si>
    <t>구분</t>
    <phoneticPr fontId="14" type="noConversion"/>
  </si>
  <si>
    <t>토지이용현황</t>
    <phoneticPr fontId="14" type="noConversion"/>
  </si>
  <si>
    <t>할증률</t>
    <phoneticPr fontId="14" type="noConversion"/>
  </si>
  <si>
    <t>특수유형</t>
    <phoneticPr fontId="14" type="noConversion"/>
  </si>
  <si>
    <t>필  지  수</t>
    <phoneticPr fontId="14" type="noConversion"/>
  </si>
  <si>
    <t>할인률</t>
    <phoneticPr fontId="14" type="noConversion"/>
  </si>
  <si>
    <t>기타</t>
    <phoneticPr fontId="14" type="noConversion"/>
  </si>
  <si>
    <t>표준지 2개 이상 사용 또는 불법형질변경 토지</t>
    <phoneticPr fontId="14" type="noConversion"/>
  </si>
  <si>
    <t>1필지부터 20필지까지</t>
    <phoneticPr fontId="14" type="noConversion"/>
  </si>
  <si>
    <t>공장용지, 학교용지, 주차장, 주유소용지, 창고용지</t>
    <phoneticPr fontId="14" type="noConversion"/>
  </si>
  <si>
    <t>미불용지</t>
    <phoneticPr fontId="14" type="noConversion"/>
  </si>
  <si>
    <t>21필지부터 150필지까지</t>
    <phoneticPr fontId="14" type="noConversion"/>
  </si>
  <si>
    <t>유지, 양어장, 수도용지, 공원, 체육용지, 유원지, 종교용지, 사적지, 묘지</t>
    <phoneticPr fontId="14" type="noConversion"/>
  </si>
  <si>
    <t>사용료 또는 환매토지</t>
    <phoneticPr fontId="14" type="noConversion"/>
  </si>
  <si>
    <t>151필지부터 250필지까지</t>
    <phoneticPr fontId="14" type="noConversion"/>
  </si>
  <si>
    <t>임야, 광천지 염전, 매립지와 토지이용현황이 도로, 철도용지, 제방, 하천, 구거이거나 이에 편입되는 토지</t>
    <phoneticPr fontId="14" type="noConversion"/>
  </si>
  <si>
    <t>251필지부터 500필지까지</t>
    <phoneticPr fontId="14" type="noConversion"/>
  </si>
  <si>
    <t>501필지부터</t>
    <phoneticPr fontId="14" type="noConversion"/>
  </si>
  <si>
    <t>건물특수용도</t>
    <phoneticPr fontId="14" type="noConversion"/>
  </si>
  <si>
    <t>건물면적할증</t>
    <phoneticPr fontId="14" type="noConversion"/>
  </si>
  <si>
    <t>사유</t>
    <phoneticPr fontId="14" type="noConversion"/>
  </si>
  <si>
    <t>일반</t>
    <phoneticPr fontId="14" type="noConversion"/>
  </si>
  <si>
    <t>500㎡ 이하</t>
    <phoneticPr fontId="14" type="noConversion"/>
  </si>
  <si>
    <t>건물이 복수구조 또는 복수용도이거나 6층 이상인 경우</t>
    <phoneticPr fontId="14" type="noConversion"/>
  </si>
  <si>
    <t>주유소,유류및가스저장소,냉동창고</t>
    <phoneticPr fontId="14" type="noConversion"/>
  </si>
  <si>
    <t>500㎡ 초과 1,500㎡ 이하</t>
    <phoneticPr fontId="14" type="noConversion"/>
  </si>
  <si>
    <t>건물 일부의 수용으로 보수비를 감정평가하는 경우</t>
    <phoneticPr fontId="14" type="noConversion"/>
  </si>
  <si>
    <t>레저및위락시설,쇼핑시설</t>
    <phoneticPr fontId="14" type="noConversion"/>
  </si>
  <si>
    <t>1,500㎡ 초과 3,000㎡ 이하</t>
    <phoneticPr fontId="14" type="noConversion"/>
  </si>
  <si>
    <t>문화재,고건물</t>
    <phoneticPr fontId="14" type="noConversion"/>
  </si>
  <si>
    <t>3,000㎡ 초과</t>
    <phoneticPr fontId="14" type="noConversion"/>
  </si>
  <si>
    <t>가온</t>
    <phoneticPr fontId="3" type="noConversion"/>
  </si>
  <si>
    <t>※ 위 금액을 아래 계좌로 송금하여 주시기 바랍니다. [사업자등록번호 : 408-85-28169]</t>
    <phoneticPr fontId="6" type="noConversion"/>
  </si>
  <si>
    <t>가온 1606-14-08003</t>
    <phoneticPr fontId="6" type="noConversion"/>
  </si>
  <si>
    <r>
      <rPr>
        <sz val="10"/>
        <rFont val="굴림체"/>
        <family val="3"/>
        <charset val="129"/>
      </rPr>
      <t xml:space="preserve">◈ 광주은행      115-107-348213        [ 예금주  |주|가온감정평가법인 광주전남지사 ] 
</t>
    </r>
    <r>
      <rPr>
        <sz val="10"/>
        <rFont val="굴림체"/>
        <family val="3"/>
        <charset val="129"/>
      </rPr>
      <t xml:space="preserve">◈ 농협은행      301-0112-0725-41      [ 예금주  |주|가온감정평가법인 광주전남지사 ] </t>
    </r>
    <phoneticPr fontId="6" type="noConversion"/>
  </si>
  <si>
    <t>분할전</t>
  </si>
  <si>
    <t>분할후</t>
  </si>
  <si>
    <t>분할후</t>
    <phoneticPr fontId="3" type="noConversion"/>
  </si>
  <si>
    <t>대</t>
  </si>
  <si>
    <t>수신</t>
    <phoneticPr fontId="3" type="noConversion"/>
  </si>
  <si>
    <t>참조</t>
    <phoneticPr fontId="3" type="noConversion"/>
  </si>
  <si>
    <t>제목</t>
    <phoneticPr fontId="3" type="noConversion"/>
  </si>
  <si>
    <t>감 정 평 가 회 보</t>
  </si>
  <si>
    <t>※필요사항 : 사업자등록증 사본, 담당자 성명, 유무선 전화번호, E-mail</t>
    <phoneticPr fontId="3" type="noConversion"/>
  </si>
  <si>
    <t>별첨</t>
    <phoneticPr fontId="3" type="noConversion"/>
  </si>
  <si>
    <t>1. 감 정 평 가 서</t>
    <phoneticPr fontId="3" type="noConversion"/>
  </si>
  <si>
    <t>2. 수수료  청구서</t>
    <phoneticPr fontId="3" type="noConversion"/>
  </si>
  <si>
    <t>부</t>
    <phoneticPr fontId="3" type="noConversion"/>
  </si>
  <si>
    <t>끝.</t>
    <phoneticPr fontId="3" type="noConversion"/>
  </si>
  <si>
    <t>우)61504 광주광역시 동구 남문로 555 주상복합다보애아파트 제1동 2층 201호 / http://www.igaon.co.kr</t>
    <phoneticPr fontId="3" type="noConversion"/>
  </si>
  <si>
    <t>TEL.(062) 250-9900 FAX.(062)250-9901  E-MAIL.gaon14@kapaland.co.kr</t>
    <phoneticPr fontId="3" type="noConversion"/>
  </si>
  <si>
    <t>군</t>
    <phoneticPr fontId="3" type="noConversion"/>
  </si>
  <si>
    <t>｜주｜가온감정평가법인 광주전남지사</t>
    <phoneticPr fontId="3" type="noConversion"/>
  </si>
  <si>
    <t>지 사 장    정  성  일</t>
    <phoneticPr fontId="3" type="noConversion"/>
  </si>
  <si>
    <t>4.</t>
    <phoneticPr fontId="3" type="noConversion"/>
  </si>
  <si>
    <t>온라인 전송 여부 : 전송.</t>
    <phoneticPr fontId="3" type="noConversion"/>
  </si>
  <si>
    <t>선결</t>
    <phoneticPr fontId="3" type="noConversion"/>
  </si>
  <si>
    <t>시간</t>
    <phoneticPr fontId="3" type="noConversion"/>
  </si>
  <si>
    <t>번호</t>
    <phoneticPr fontId="3" type="noConversion"/>
  </si>
  <si>
    <t>일자</t>
    <phoneticPr fontId="3" type="noConversion"/>
  </si>
  <si>
    <t>처리과</t>
    <phoneticPr fontId="3" type="noConversion"/>
  </si>
  <si>
    <t>담당자</t>
    <phoneticPr fontId="3" type="noConversion"/>
  </si>
  <si>
    <t>접
수</t>
    <phoneticPr fontId="3" type="noConversion"/>
  </si>
  <si>
    <t>결
재
·
공
람</t>
    <phoneticPr fontId="3" type="noConversion"/>
  </si>
  <si>
    <t>지
시</t>
    <phoneticPr fontId="3" type="noConversion"/>
  </si>
  <si>
    <t>중앙토지수용위원회사무국장</t>
    <phoneticPr fontId="3" type="noConversion"/>
  </si>
  <si>
    <t>기타</t>
    <phoneticPr fontId="6" type="noConversion"/>
  </si>
  <si>
    <t>위원회</t>
    <phoneticPr fontId="3" type="noConversion"/>
  </si>
  <si>
    <t>조건</t>
    <phoneticPr fontId="6" type="noConversion"/>
  </si>
  <si>
    <t>항목</t>
    <phoneticPr fontId="6" type="noConversion"/>
  </si>
  <si>
    <t>세 항 목</t>
    <phoneticPr fontId="6" type="noConversion"/>
  </si>
  <si>
    <t>비 교 내 용</t>
    <phoneticPr fontId="6" type="noConversion"/>
  </si>
  <si>
    <t>비  고</t>
    <phoneticPr fontId="6" type="noConversion"/>
  </si>
  <si>
    <t>비교표준지</t>
    <phoneticPr fontId="6" type="noConversion"/>
  </si>
  <si>
    <t>대상토지</t>
    <phoneticPr fontId="6" type="noConversion"/>
  </si>
  <si>
    <t>접근
조건</t>
    <phoneticPr fontId="6" type="noConversion"/>
  </si>
  <si>
    <t>교통의 편부</t>
    <phoneticPr fontId="6" type="noConversion"/>
  </si>
  <si>
    <t>취락과의 접근성</t>
    <phoneticPr fontId="6" type="noConversion"/>
  </si>
  <si>
    <t>농로의 상태</t>
    <phoneticPr fontId="6" type="noConversion"/>
  </si>
  <si>
    <t>자연
조건</t>
    <phoneticPr fontId="6" type="noConversion"/>
  </si>
  <si>
    <t>일조 등</t>
    <phoneticPr fontId="6" type="noConversion"/>
  </si>
  <si>
    <t>일조, 통풍 등</t>
    <phoneticPr fontId="6" type="noConversion"/>
  </si>
  <si>
    <t>토양, 토질</t>
    <phoneticPr fontId="6" type="noConversion"/>
  </si>
  <si>
    <t>토양, 토질의 양부</t>
    <phoneticPr fontId="6" type="noConversion"/>
  </si>
  <si>
    <t>관개, 배수</t>
    <phoneticPr fontId="6" type="noConversion"/>
  </si>
  <si>
    <t>관개의 양부</t>
    <phoneticPr fontId="6" type="noConversion"/>
  </si>
  <si>
    <t>배수의 양부</t>
    <phoneticPr fontId="6" type="noConversion"/>
  </si>
  <si>
    <t>재해의 위험성</t>
    <phoneticPr fontId="6" type="noConversion"/>
  </si>
  <si>
    <t>수해의 위험성</t>
  </si>
  <si>
    <t>기타 재해의 위험성</t>
  </si>
  <si>
    <t>획지
조건</t>
    <phoneticPr fontId="6" type="noConversion"/>
  </si>
  <si>
    <t>면적, 경사
등</t>
    <phoneticPr fontId="6" type="noConversion"/>
  </si>
  <si>
    <t>면적</t>
    <phoneticPr fontId="6" type="noConversion"/>
  </si>
  <si>
    <t>경사</t>
    <phoneticPr fontId="6" type="noConversion"/>
  </si>
  <si>
    <t>경작의 편부</t>
    <phoneticPr fontId="6" type="noConversion"/>
  </si>
  <si>
    <t>형상부정 및 장애물에</t>
    <phoneticPr fontId="6" type="noConversion"/>
  </si>
  <si>
    <t>의한 장애의 정도</t>
    <phoneticPr fontId="6" type="noConversion"/>
  </si>
  <si>
    <t>행정적
조건</t>
    <phoneticPr fontId="6" type="noConversion"/>
  </si>
  <si>
    <t>행정상의 조장
및 규제정도</t>
    <phoneticPr fontId="6" type="noConversion"/>
  </si>
  <si>
    <t>보조금, 융자금 등</t>
    <phoneticPr fontId="6" type="noConversion"/>
  </si>
  <si>
    <t>조장의 정도</t>
    <phoneticPr fontId="6" type="noConversion"/>
  </si>
  <si>
    <t>규제의 정도</t>
    <phoneticPr fontId="6" type="noConversion"/>
  </si>
  <si>
    <t>기타
조건</t>
    <phoneticPr fontId="6" type="noConversion"/>
  </si>
  <si>
    <t>장래의 동향</t>
    <phoneticPr fontId="6" type="noConversion"/>
  </si>
  <si>
    <t>누      계</t>
    <phoneticPr fontId="6" type="noConversion"/>
  </si>
  <si>
    <t>경사도</t>
    <phoneticPr fontId="6" type="noConversion"/>
  </si>
  <si>
    <t>경사의 방향</t>
    <phoneticPr fontId="6" type="noConversion"/>
  </si>
  <si>
    <t>교통의 편부 등</t>
    <phoneticPr fontId="6" type="noConversion"/>
  </si>
  <si>
    <t>인근역과의 접근성</t>
    <phoneticPr fontId="6" type="noConversion"/>
  </si>
  <si>
    <t>인근취락과의 접근성</t>
    <phoneticPr fontId="6" type="noConversion"/>
  </si>
  <si>
    <t>임도의 배치, 폭, 구조 등</t>
    <phoneticPr fontId="6" type="noConversion"/>
  </si>
  <si>
    <t>반출지점까지의 거리</t>
    <phoneticPr fontId="6" type="noConversion"/>
  </si>
  <si>
    <t>반출지점에서 시장까지의</t>
    <phoneticPr fontId="6" type="noConversion"/>
  </si>
  <si>
    <t>거리</t>
    <phoneticPr fontId="6" type="noConversion"/>
  </si>
  <si>
    <t>지세, 방위 등</t>
    <phoneticPr fontId="6" type="noConversion"/>
  </si>
  <si>
    <t>표고</t>
    <phoneticPr fontId="6" type="noConversion"/>
  </si>
  <si>
    <t>방위</t>
    <phoneticPr fontId="6" type="noConversion"/>
  </si>
  <si>
    <t>경사면의 위치</t>
    <phoneticPr fontId="6" type="noConversion"/>
  </si>
  <si>
    <t>경사의 굴곡</t>
    <phoneticPr fontId="6" type="noConversion"/>
  </si>
  <si>
    <t>국·도립공원, 보안림</t>
    <phoneticPr fontId="6" type="noConversion"/>
  </si>
  <si>
    <t>사방지 지정 등의 규제</t>
    <phoneticPr fontId="6" type="noConversion"/>
  </si>
  <si>
    <t>기타규제</t>
    <phoneticPr fontId="6" type="noConversion"/>
  </si>
  <si>
    <t>누    계</t>
    <phoneticPr fontId="6" type="noConversion"/>
  </si>
  <si>
    <t>가로
조건</t>
    <phoneticPr fontId="6" type="noConversion"/>
  </si>
  <si>
    <t>가로의 폭,
구조 등의 상태</t>
    <phoneticPr fontId="6" type="noConversion"/>
  </si>
  <si>
    <t>폭</t>
    <phoneticPr fontId="6" type="noConversion"/>
  </si>
  <si>
    <t>100</t>
    <phoneticPr fontId="6" type="noConversion"/>
  </si>
  <si>
    <t>포장</t>
    <phoneticPr fontId="6" type="noConversion"/>
  </si>
  <si>
    <t>보도</t>
    <phoneticPr fontId="6" type="noConversion"/>
  </si>
  <si>
    <t>계통 및 연속성</t>
    <phoneticPr fontId="6" type="noConversion"/>
  </si>
  <si>
    <t>상업지역중심
및 교통시설과
편의성</t>
    <phoneticPr fontId="6" type="noConversion"/>
  </si>
  <si>
    <t>상업지역중심과의 접근성</t>
    <phoneticPr fontId="6" type="noConversion"/>
  </si>
  <si>
    <t>인근교통시설과의 거리 및</t>
    <phoneticPr fontId="6" type="noConversion"/>
  </si>
  <si>
    <t>편의성</t>
    <phoneticPr fontId="6" type="noConversion"/>
  </si>
  <si>
    <t>환경
조건</t>
    <phoneticPr fontId="6" type="noConversion"/>
  </si>
  <si>
    <t>고객의 유동성</t>
    <phoneticPr fontId="6" type="noConversion"/>
  </si>
  <si>
    <t>고객의 유동성과의 적합성</t>
    <phoneticPr fontId="6" type="noConversion"/>
  </si>
  <si>
    <t>과의 적합성</t>
    <phoneticPr fontId="6" type="noConversion"/>
  </si>
  <si>
    <t>인근환경</t>
    <phoneticPr fontId="6" type="noConversion"/>
  </si>
  <si>
    <t>인근토지의 이용상황과의</t>
    <phoneticPr fontId="6" type="noConversion"/>
  </si>
  <si>
    <t>적합성</t>
    <phoneticPr fontId="6" type="noConversion"/>
  </si>
  <si>
    <t>자연환경</t>
    <phoneticPr fontId="6" type="noConversion"/>
  </si>
  <si>
    <t>지반, 지질 등</t>
    <phoneticPr fontId="6" type="noConversion"/>
  </si>
  <si>
    <t>면적, 접면, 
너비, 깊이,
형상 등</t>
    <phoneticPr fontId="6" type="noConversion"/>
  </si>
  <si>
    <t>접면너비</t>
    <phoneticPr fontId="6" type="noConversion"/>
  </si>
  <si>
    <t>깊이</t>
    <phoneticPr fontId="6" type="noConversion"/>
  </si>
  <si>
    <t>부정형지</t>
    <phoneticPr fontId="6" type="noConversion"/>
  </si>
  <si>
    <t>삼각지</t>
    <phoneticPr fontId="6" type="noConversion"/>
  </si>
  <si>
    <t>자루형 획지</t>
    <phoneticPr fontId="6" type="noConversion"/>
  </si>
  <si>
    <t>맹지</t>
    <phoneticPr fontId="6" type="noConversion"/>
  </si>
  <si>
    <t>방위, 고저 등</t>
    <phoneticPr fontId="6" type="noConversion"/>
  </si>
  <si>
    <t>고저</t>
    <phoneticPr fontId="6" type="noConversion"/>
  </si>
  <si>
    <t>경사지</t>
    <phoneticPr fontId="6" type="noConversion"/>
  </si>
  <si>
    <t>접면도로 상태</t>
    <phoneticPr fontId="6" type="noConversion"/>
  </si>
  <si>
    <t>각지</t>
    <phoneticPr fontId="6" type="noConversion"/>
  </si>
  <si>
    <t>2면획지</t>
    <phoneticPr fontId="6" type="noConversion"/>
  </si>
  <si>
    <t>3면획지</t>
    <phoneticPr fontId="6" type="noConversion"/>
  </si>
  <si>
    <t>행정상의 
규제정도</t>
    <phoneticPr fontId="6" type="noConversion"/>
  </si>
  <si>
    <t>용도지역, 지구, 구역 등</t>
    <phoneticPr fontId="6" type="noConversion"/>
  </si>
  <si>
    <t>용적제한</t>
    <phoneticPr fontId="6" type="noConversion"/>
  </si>
  <si>
    <t>고도제한</t>
    <phoneticPr fontId="6" type="noConversion"/>
  </si>
  <si>
    <t>기타규제(입체이용제한 등)</t>
    <phoneticPr fontId="6" type="noConversion"/>
  </si>
  <si>
    <t>폭</t>
  </si>
  <si>
    <t>포장, 보도</t>
  </si>
  <si>
    <t>계통 및 연속성</t>
  </si>
  <si>
    <t>교통시설과의 접근성</t>
  </si>
  <si>
    <t>인근대중교통시설과의 거리 및 편의성</t>
  </si>
  <si>
    <t>상가와의 접근성</t>
  </si>
  <si>
    <t>인근상가와의 거리 및 편의성</t>
  </si>
  <si>
    <t>공공 및 편익시설과의 접근성</t>
  </si>
  <si>
    <t>유치원, 초등학교, 공원, 병원, 관공서 등과의 거리 및 편익성</t>
  </si>
  <si>
    <t>일조 등</t>
  </si>
  <si>
    <t>일조, 통풍 등</t>
  </si>
  <si>
    <t>자연환경</t>
  </si>
  <si>
    <t>조망, 경관, 지반, 지질 등</t>
  </si>
  <si>
    <t>인근환경</t>
  </si>
  <si>
    <t>인근토지의 이용상황</t>
  </si>
  <si>
    <t>인근토지의 이용상황과의 적합성</t>
  </si>
  <si>
    <t>공급 및 처리시설의 상태</t>
  </si>
  <si>
    <t>상수도, 하수도, 도시가스 등</t>
    <phoneticPr fontId="3" type="noConversion"/>
  </si>
  <si>
    <t>위험 및 혐오시설 등</t>
  </si>
  <si>
    <t>변전소, 가스탱크, 오수처리장 등의 유무</t>
  </si>
  <si>
    <t>특별고압선 등과의 거리</t>
  </si>
  <si>
    <t>면적, 접면너비, 깊이, 형상 등</t>
    <phoneticPr fontId="6" type="noConversion"/>
  </si>
  <si>
    <t>면적</t>
  </si>
  <si>
    <t>접면너비</t>
  </si>
  <si>
    <t>깊이, 부정형지, 삼각지 등</t>
  </si>
  <si>
    <t>방위, 고저, 경사지</t>
    <phoneticPr fontId="6" type="noConversion"/>
  </si>
  <si>
    <t>각지</t>
  </si>
  <si>
    <t>2면획지 등</t>
  </si>
  <si>
    <t>용도지역, 지구, 구역</t>
  </si>
  <si>
    <t>기타규제(입체이용제한 등)</t>
  </si>
  <si>
    <t>취락과의 접근성 등</t>
    <phoneticPr fontId="3" type="noConversion"/>
  </si>
  <si>
    <t>최종</t>
    <phoneticPr fontId="3" type="noConversion"/>
  </si>
  <si>
    <t>내용 입력</t>
    <phoneticPr fontId="3" type="noConversion"/>
  </si>
  <si>
    <t>행정상의 조장 및 규제정도</t>
    <phoneticPr fontId="3" type="noConversion"/>
  </si>
  <si>
    <t>대상토지</t>
    <phoneticPr fontId="3" type="noConversion"/>
  </si>
  <si>
    <t>블럭명-가지번</t>
    <phoneticPr fontId="3" type="noConversion"/>
  </si>
  <si>
    <t>사정금액</t>
    <phoneticPr fontId="3" type="noConversion"/>
  </si>
  <si>
    <t>준주거</t>
    <phoneticPr fontId="3" type="noConversion"/>
  </si>
  <si>
    <r>
      <rPr>
        <sz val="10"/>
        <rFont val="Arial Unicode MS"/>
        <family val="3"/>
        <charset val="129"/>
      </rPr>
      <t>전라남도</t>
    </r>
    <r>
      <rPr>
        <sz val="10"/>
        <rFont val="Calibri"/>
        <family val="3"/>
      </rPr>
      <t xml:space="preserve"> </t>
    </r>
    <r>
      <rPr>
        <sz val="10"/>
        <rFont val="Arial Unicode MS"/>
        <family val="3"/>
        <charset val="129"/>
      </rPr>
      <t>무안군    일로읍 오룡리</t>
    </r>
    <phoneticPr fontId="3" type="noConversion"/>
  </si>
  <si>
    <t>S6</t>
    <phoneticPr fontId="3" type="noConversion"/>
  </si>
  <si>
    <t>S9</t>
    <phoneticPr fontId="3" type="noConversion"/>
  </si>
  <si>
    <t>SR5</t>
    <phoneticPr fontId="3" type="noConversion"/>
  </si>
  <si>
    <t>유치원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</si>
</sst>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0000_ "/>
    <numFmt numFmtId="178" formatCode="0.00_ "/>
    <numFmt numFmtId="179" formatCode="&quot;₩&quot;#,###.\-"/>
    <numFmt numFmtId="180" formatCode="#,##0.0_);[Red]\(#,##0.0\)"/>
    <numFmt numFmtId="181" formatCode="0.00_);[Red]\(0.00\)"/>
    <numFmt numFmtId="182" formatCode="0.000_);[Red]\(0.000\)"/>
    <numFmt numFmtId="183" formatCode="&quot;₩&quot;#,##0;[Red]&quot;₩&quot;#,##0"/>
    <numFmt numFmtId="184" formatCode="&quot;₩&quot;#,##0_);[Red]\(&quot;₩&quot;#,##0\)"/>
    <numFmt numFmtId="185" formatCode="@&quot; 귀하&quot;"/>
    <numFmt numFmtId="186" formatCode="#,##0.00_);[Red]\(#,##0.00\)"/>
    <numFmt numFmtId="187" formatCode="#,##0_);[Red]\(#,##0\)"/>
    <numFmt numFmtId="188" formatCode="0.0"/>
    <numFmt numFmtId="189" formatCode="000\-000"/>
    <numFmt numFmtId="190" formatCode="#,##0.000_);\(#,##0.000\)"/>
    <numFmt numFmtId="191" formatCode="#,##0.00_);\(#,##0.00\)"/>
    <numFmt numFmtId="192" formatCode="#,##0.0_ "/>
  </numFmts>
  <fonts count="30">
    <font>
      <sz val="10"/>
      <name val="굴림체"/>
      <family val="3"/>
      <charset val="129"/>
    </font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12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굴림체"/>
      <family val="3"/>
      <charset val="129"/>
    </font>
    <font>
      <b/>
      <u/>
      <sz val="20"/>
      <name val="굴림체"/>
      <family val="3"/>
      <charset val="129"/>
    </font>
    <font>
      <b/>
      <sz val="13"/>
      <name val="굴림체"/>
      <family val="3"/>
      <charset val="129"/>
    </font>
    <font>
      <b/>
      <sz val="16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맑은 고딕"/>
      <family val="3"/>
      <charset val="129"/>
    </font>
    <font>
      <sz val="10"/>
      <name val="Arial"/>
      <family val="2"/>
    </font>
    <font>
      <sz val="12"/>
      <name val="굴림체"/>
      <family val="3"/>
      <charset val="129"/>
    </font>
    <font>
      <sz val="11"/>
      <name val="돋움"/>
      <family val="3"/>
      <charset val="129"/>
    </font>
    <font>
      <b/>
      <sz val="22"/>
      <name val="굴림체"/>
      <family val="3"/>
      <charset val="129"/>
    </font>
    <font>
      <b/>
      <sz val="20"/>
      <name val="굴림체"/>
      <family val="3"/>
      <charset val="129"/>
    </font>
    <font>
      <b/>
      <u val="double"/>
      <sz val="20"/>
      <name val="굴림체"/>
      <family val="3"/>
      <charset val="129"/>
    </font>
    <font>
      <sz val="10"/>
      <name val="나눔스퀘어라운드 Regular"/>
      <family val="3"/>
      <charset val="129"/>
    </font>
    <font>
      <b/>
      <sz val="10"/>
      <name val="나눔스퀘어라운드 Regular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0"/>
      <color rgb="FFC00000"/>
      <name val="굴림체"/>
      <family val="3"/>
      <charset val="129"/>
    </font>
    <font>
      <b/>
      <sz val="10"/>
      <color rgb="FFC00000"/>
      <name val="나눔스퀘어라운드 Regular"/>
      <family val="3"/>
      <charset val="129"/>
    </font>
    <font>
      <sz val="10"/>
      <name val="Arial Unicode MS"/>
      <family val="3"/>
      <charset val="129"/>
    </font>
    <font>
      <sz val="10"/>
      <name val="Calibri"/>
      <family val="3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9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DDDD"/>
        <bgColor indexed="64"/>
      </patternFill>
    </fill>
    <fill>
      <patternFill patternType="solid">
        <fgColor rgb="FFD7DEE3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Dashed">
        <color indexed="64"/>
      </left>
      <right style="mediumDashed">
        <color indexed="64"/>
      </right>
      <top style="mediumDashed">
        <color indexed="64"/>
      </top>
      <bottom style="mediumDashed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 style="medium">
        <color theme="5"/>
      </bottom>
      <diagonal/>
    </border>
    <border>
      <left style="medium">
        <color theme="5"/>
      </left>
      <right style="medium">
        <color theme="5"/>
      </right>
      <top style="medium">
        <color theme="5"/>
      </top>
      <bottom/>
      <diagonal/>
    </border>
    <border>
      <left style="medium">
        <color theme="5"/>
      </left>
      <right style="medium">
        <color theme="5"/>
      </right>
      <top/>
      <bottom style="medium">
        <color theme="5"/>
      </bottom>
      <diagonal/>
    </border>
    <border>
      <left style="medium">
        <color theme="5"/>
      </left>
      <right style="medium">
        <color theme="5"/>
      </right>
      <top/>
      <bottom/>
      <diagonal/>
    </border>
    <border>
      <left style="thin">
        <color indexed="64"/>
      </left>
      <right style="medium">
        <color theme="5"/>
      </right>
      <top style="thin">
        <color indexed="64"/>
      </top>
      <bottom/>
      <diagonal/>
    </border>
    <border>
      <left style="thin">
        <color indexed="64"/>
      </left>
      <right style="medium">
        <color theme="5"/>
      </right>
      <top/>
      <bottom/>
      <diagonal/>
    </border>
    <border>
      <left style="thin">
        <color indexed="64"/>
      </left>
      <right style="medium">
        <color theme="5"/>
      </right>
      <top/>
      <bottom style="thin">
        <color indexed="64"/>
      </bottom>
      <diagonal/>
    </border>
    <border>
      <left style="medium">
        <color theme="5"/>
      </left>
      <right style="thin">
        <color indexed="64"/>
      </right>
      <top style="thin">
        <color indexed="64"/>
      </top>
      <bottom/>
      <diagonal/>
    </border>
    <border>
      <left style="medium">
        <color theme="5"/>
      </left>
      <right style="thin">
        <color indexed="64"/>
      </right>
      <top/>
      <bottom/>
      <diagonal/>
    </border>
    <border>
      <left style="medium">
        <color theme="5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17" fillId="0" borderId="0"/>
    <xf numFmtId="0" fontId="23" fillId="0" borderId="0"/>
  </cellStyleXfs>
  <cellXfs count="37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0" fillId="0" borderId="11" xfId="0" applyNumberFormat="1" applyBorder="1">
      <alignment vertical="center"/>
    </xf>
    <xf numFmtId="41" fontId="0" fillId="0" borderId="12" xfId="0" applyNumberFormat="1" applyBorder="1">
      <alignment vertical="center"/>
    </xf>
    <xf numFmtId="41" fontId="0" fillId="0" borderId="13" xfId="0" applyNumberForma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42" fontId="5" fillId="0" borderId="15" xfId="0" applyNumberFormat="1" applyFont="1" applyBorder="1">
      <alignment vertical="center"/>
    </xf>
    <xf numFmtId="42" fontId="5" fillId="0" borderId="16" xfId="0" applyNumberFormat="1" applyFont="1" applyBorder="1">
      <alignment vertical="center"/>
    </xf>
    <xf numFmtId="42" fontId="5" fillId="0" borderId="17" xfId="0" applyNumberFormat="1" applyFont="1" applyBorder="1">
      <alignment vertical="center"/>
    </xf>
    <xf numFmtId="0" fontId="4" fillId="0" borderId="18" xfId="0" applyFont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77" fontId="2" fillId="0" borderId="20" xfId="0" applyNumberFormat="1" applyFont="1" applyBorder="1" applyAlignment="1">
      <alignment horizontal="center" vertical="center"/>
    </xf>
    <xf numFmtId="181" fontId="2" fillId="0" borderId="20" xfId="0" applyNumberFormat="1" applyFont="1" applyBorder="1" applyAlignment="1">
      <alignment horizontal="center" vertical="center"/>
    </xf>
    <xf numFmtId="41" fontId="0" fillId="0" borderId="16" xfId="0" applyNumberFormat="1" applyBorder="1">
      <alignment vertical="center"/>
    </xf>
    <xf numFmtId="177" fontId="2" fillId="0" borderId="21" xfId="0" applyNumberFormat="1" applyFont="1" applyBorder="1" applyAlignment="1">
      <alignment horizontal="center" vertical="center"/>
    </xf>
    <xf numFmtId="181" fontId="2" fillId="0" borderId="21" xfId="0" applyNumberFormat="1" applyFont="1" applyBorder="1" applyAlignment="1">
      <alignment horizontal="center" vertical="center"/>
    </xf>
    <xf numFmtId="41" fontId="0" fillId="0" borderId="22" xfId="0" applyNumberFormat="1" applyBorder="1">
      <alignment vertical="center"/>
    </xf>
    <xf numFmtId="41" fontId="4" fillId="2" borderId="23" xfId="0" applyNumberFormat="1" applyFont="1" applyFill="1" applyBorder="1">
      <alignment vertical="center"/>
    </xf>
    <xf numFmtId="41" fontId="4" fillId="0" borderId="18" xfId="0" applyNumberFormat="1" applyFont="1" applyBorder="1">
      <alignment vertical="center"/>
    </xf>
    <xf numFmtId="41" fontId="4" fillId="0" borderId="24" xfId="0" applyNumberFormat="1" applyFont="1" applyBorder="1">
      <alignment vertical="center"/>
    </xf>
    <xf numFmtId="41" fontId="4" fillId="0" borderId="16" xfId="0" applyNumberFormat="1" applyFont="1" applyBorder="1">
      <alignment vertical="center"/>
    </xf>
    <xf numFmtId="41" fontId="0" fillId="0" borderId="25" xfId="0" applyNumberFormat="1" applyBorder="1">
      <alignment vertical="center"/>
    </xf>
    <xf numFmtId="41" fontId="5" fillId="0" borderId="15" xfId="0" applyNumberFormat="1" applyFont="1" applyBorder="1">
      <alignment vertical="center"/>
    </xf>
    <xf numFmtId="41" fontId="5" fillId="0" borderId="16" xfId="0" applyNumberFormat="1" applyFont="1" applyBorder="1">
      <alignment vertical="center"/>
    </xf>
    <xf numFmtId="41" fontId="5" fillId="0" borderId="17" xfId="0" applyNumberFormat="1" applyFont="1" applyBorder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3" fontId="2" fillId="0" borderId="20" xfId="0" applyNumberFormat="1" applyFont="1" applyBorder="1" applyAlignment="1">
      <alignment horizontal="center" vertical="center"/>
    </xf>
    <xf numFmtId="3" fontId="2" fillId="0" borderId="21" xfId="0" applyNumberFormat="1" applyFont="1" applyBorder="1" applyAlignment="1">
      <alignment horizontal="center" vertical="center"/>
    </xf>
    <xf numFmtId="187" fontId="0" fillId="0" borderId="0" xfId="0" applyNumberFormat="1">
      <alignment vertical="center"/>
    </xf>
    <xf numFmtId="187" fontId="1" fillId="0" borderId="26" xfId="0" applyNumberFormat="1" applyFont="1" applyBorder="1" applyAlignment="1">
      <alignment vertical="center"/>
    </xf>
    <xf numFmtId="187" fontId="0" fillId="0" borderId="0" xfId="0" applyNumberFormat="1" applyAlignment="1">
      <alignment horizontal="center" vertical="center"/>
    </xf>
    <xf numFmtId="181" fontId="2" fillId="0" borderId="20" xfId="0" applyNumberFormat="1" applyFont="1" applyFill="1" applyBorder="1" applyAlignment="1">
      <alignment horizontal="center" vertical="center"/>
    </xf>
    <xf numFmtId="181" fontId="2" fillId="0" borderId="21" xfId="0" applyNumberFormat="1" applyFont="1" applyFill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187" fontId="0" fillId="0" borderId="26" xfId="0" applyNumberForma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82" fontId="2" fillId="0" borderId="0" xfId="0" applyNumberFormat="1" applyFont="1" applyAlignment="1">
      <alignment horizontal="center" vertical="center"/>
    </xf>
    <xf numFmtId="0" fontId="0" fillId="0" borderId="20" xfId="0" applyFont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/>
    </xf>
    <xf numFmtId="182" fontId="2" fillId="0" borderId="20" xfId="0" applyNumberFormat="1" applyFont="1" applyFill="1" applyBorder="1" applyAlignment="1">
      <alignment horizontal="center" vertical="center"/>
    </xf>
    <xf numFmtId="186" fontId="2" fillId="0" borderId="20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182" fontId="2" fillId="0" borderId="21" xfId="0" applyNumberFormat="1" applyFont="1" applyFill="1" applyBorder="1" applyAlignment="1">
      <alignment horizontal="center" vertical="center"/>
    </xf>
    <xf numFmtId="186" fontId="2" fillId="0" borderId="21" xfId="0" applyNumberFormat="1" applyFont="1" applyBorder="1" applyAlignment="1">
      <alignment horizontal="center" vertical="center"/>
    </xf>
    <xf numFmtId="0" fontId="0" fillId="3" borderId="20" xfId="0" applyNumberFormat="1" applyFont="1" applyFill="1" applyBorder="1" applyAlignment="1">
      <alignment horizontal="center" vertical="center" wrapText="1"/>
    </xf>
    <xf numFmtId="0" fontId="0" fillId="3" borderId="21" xfId="0" applyNumberFormat="1" applyFont="1" applyFill="1" applyBorder="1" applyAlignment="1">
      <alignment horizontal="center" vertical="center" wrapText="1"/>
    </xf>
    <xf numFmtId="182" fontId="2" fillId="0" borderId="31" xfId="0" applyNumberFormat="1" applyFont="1" applyFill="1" applyBorder="1" applyAlignment="1">
      <alignment horizontal="center" vertical="center"/>
    </xf>
    <xf numFmtId="0" fontId="0" fillId="0" borderId="31" xfId="0" applyFont="1" applyBorder="1" applyAlignment="1">
      <alignment horizontal="center" vertical="center" wrapText="1"/>
    </xf>
    <xf numFmtId="0" fontId="0" fillId="3" borderId="31" xfId="0" applyNumberFormat="1" applyFont="1" applyFill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/>
    </xf>
    <xf numFmtId="3" fontId="2" fillId="0" borderId="31" xfId="0" applyNumberFormat="1" applyFont="1" applyBorder="1" applyAlignment="1">
      <alignment horizontal="center" vertical="center"/>
    </xf>
    <xf numFmtId="177" fontId="2" fillId="0" borderId="31" xfId="0" applyNumberFormat="1" applyFont="1" applyBorder="1" applyAlignment="1">
      <alignment horizontal="center" vertical="center"/>
    </xf>
    <xf numFmtId="181" fontId="2" fillId="0" borderId="31" xfId="0" applyNumberFormat="1" applyFont="1" applyBorder="1" applyAlignment="1">
      <alignment horizontal="center" vertical="center"/>
    </xf>
    <xf numFmtId="181" fontId="2" fillId="0" borderId="31" xfId="0" applyNumberFormat="1" applyFont="1" applyFill="1" applyBorder="1" applyAlignment="1">
      <alignment horizontal="center" vertical="center"/>
    </xf>
    <xf numFmtId="186" fontId="2" fillId="0" borderId="3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32" xfId="0" applyNumberFormat="1" applyFont="1" applyBorder="1" applyAlignment="1">
      <alignment vertical="center"/>
    </xf>
    <xf numFmtId="0" fontId="8" fillId="0" borderId="32" xfId="0" applyFont="1" applyBorder="1" applyAlignment="1">
      <alignment vertical="center"/>
    </xf>
    <xf numFmtId="183" fontId="7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49" fontId="2" fillId="0" borderId="20" xfId="0" applyNumberFormat="1" applyFont="1" applyBorder="1" applyAlignment="1">
      <alignment horizontal="center" vertical="center"/>
    </xf>
    <xf numFmtId="0" fontId="2" fillId="0" borderId="33" xfId="0" applyNumberFormat="1" applyFont="1" applyBorder="1" applyAlignment="1">
      <alignment vertical="center" wrapText="1"/>
    </xf>
    <xf numFmtId="49" fontId="2" fillId="0" borderId="34" xfId="0" applyNumberFormat="1" applyFont="1" applyBorder="1" applyAlignment="1">
      <alignment vertical="top"/>
    </xf>
    <xf numFmtId="0" fontId="2" fillId="0" borderId="35" xfId="0" applyNumberFormat="1" applyFont="1" applyBorder="1" applyAlignment="1">
      <alignment vertical="center"/>
    </xf>
    <xf numFmtId="49" fontId="2" fillId="0" borderId="36" xfId="0" applyNumberFormat="1" applyFont="1" applyBorder="1" applyAlignment="1">
      <alignment vertical="top"/>
    </xf>
    <xf numFmtId="0" fontId="2" fillId="0" borderId="37" xfId="0" applyNumberFormat="1" applyFont="1" applyBorder="1" applyAlignment="1">
      <alignment vertical="center"/>
    </xf>
    <xf numFmtId="49" fontId="2" fillId="0" borderId="38" xfId="0" applyNumberFormat="1" applyFont="1" applyBorder="1" applyAlignment="1">
      <alignment vertical="top"/>
    </xf>
    <xf numFmtId="49" fontId="7" fillId="0" borderId="0" xfId="0" applyNumberFormat="1" applyFont="1" applyAlignment="1">
      <alignment vertical="center"/>
    </xf>
    <xf numFmtId="0" fontId="24" fillId="5" borderId="39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4" fillId="5" borderId="40" xfId="0" applyFont="1" applyFill="1" applyBorder="1" applyAlignment="1">
      <alignment horizontal="center" vertical="center"/>
    </xf>
    <xf numFmtId="0" fontId="25" fillId="0" borderId="39" xfId="0" applyFont="1" applyBorder="1" applyAlignment="1">
      <alignment horizontal="center" vertical="center"/>
    </xf>
    <xf numFmtId="0" fontId="25" fillId="0" borderId="39" xfId="0" applyFont="1" applyBorder="1" applyAlignment="1">
      <alignment vertical="center" wrapText="1"/>
    </xf>
    <xf numFmtId="188" fontId="25" fillId="0" borderId="39" xfId="0" applyNumberFormat="1" applyFont="1" applyBorder="1" applyAlignment="1">
      <alignment horizontal="center" vertical="center"/>
    </xf>
    <xf numFmtId="0" fontId="25" fillId="0" borderId="40" xfId="0" applyFont="1" applyBorder="1" applyAlignment="1">
      <alignment vertical="center" wrapText="1"/>
    </xf>
    <xf numFmtId="0" fontId="25" fillId="0" borderId="0" xfId="0" applyFont="1" applyBorder="1" applyAlignment="1">
      <alignment vertical="center" wrapText="1"/>
    </xf>
    <xf numFmtId="188" fontId="25" fillId="0" borderId="0" xfId="0" applyNumberFormat="1" applyFont="1" applyBorder="1" applyAlignment="1">
      <alignment horizontal="center" vertical="center"/>
    </xf>
    <xf numFmtId="0" fontId="24" fillId="5" borderId="39" xfId="0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  <xf numFmtId="0" fontId="16" fillId="0" borderId="0" xfId="0" applyFont="1">
      <alignment vertical="center"/>
    </xf>
    <xf numFmtId="0" fontId="9" fillId="0" borderId="0" xfId="0" applyFont="1">
      <alignment vertical="center"/>
    </xf>
    <xf numFmtId="0" fontId="0" fillId="7" borderId="0" xfId="0" applyFill="1">
      <alignment vertical="center"/>
    </xf>
    <xf numFmtId="49" fontId="16" fillId="0" borderId="0" xfId="0" applyNumberFormat="1" applyFont="1">
      <alignment vertical="center"/>
    </xf>
    <xf numFmtId="0" fontId="0" fillId="0" borderId="0" xfId="0" applyFill="1">
      <alignment vertical="center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189" fontId="2" fillId="0" borderId="0" xfId="9" applyNumberFormat="1" applyFont="1" applyAlignment="1">
      <alignment vertical="center"/>
    </xf>
    <xf numFmtId="189" fontId="2" fillId="0" borderId="0" xfId="9" applyNumberFormat="1" applyFont="1"/>
    <xf numFmtId="189" fontId="2" fillId="0" borderId="0" xfId="9" applyNumberFormat="1" applyFont="1" applyAlignment="1">
      <alignment horizontal="left" vertical="center" wrapText="1"/>
    </xf>
    <xf numFmtId="189" fontId="2" fillId="0" borderId="35" xfId="9" applyNumberFormat="1" applyFont="1" applyBorder="1" applyAlignment="1">
      <alignment horizontal="center" vertical="center"/>
    </xf>
    <xf numFmtId="189" fontId="2" fillId="0" borderId="41" xfId="9" applyNumberFormat="1" applyFont="1" applyBorder="1" applyAlignment="1">
      <alignment horizontal="center" vertical="center" wrapText="1"/>
    </xf>
    <xf numFmtId="189" fontId="2" fillId="0" borderId="35" xfId="9" applyNumberFormat="1" applyFont="1" applyBorder="1" applyAlignment="1">
      <alignment horizontal="center" vertical="center" wrapText="1"/>
    </xf>
    <xf numFmtId="189" fontId="2" fillId="0" borderId="37" xfId="9" applyNumberFormat="1" applyFont="1" applyBorder="1" applyAlignment="1">
      <alignment horizontal="center" vertical="center"/>
    </xf>
    <xf numFmtId="189" fontId="2" fillId="0" borderId="42" xfId="9" applyNumberFormat="1" applyFont="1" applyBorder="1" applyAlignment="1">
      <alignment horizontal="center" vertical="top" wrapText="1"/>
    </xf>
    <xf numFmtId="0" fontId="2" fillId="0" borderId="42" xfId="9" quotePrefix="1" applyFont="1" applyBorder="1" applyAlignment="1">
      <alignment horizontal="center" vertical="top" wrapText="1"/>
    </xf>
    <xf numFmtId="189" fontId="2" fillId="0" borderId="37" xfId="9" applyNumberFormat="1" applyFont="1" applyBorder="1" applyAlignment="1">
      <alignment horizontal="center" vertical="center" wrapText="1"/>
    </xf>
    <xf numFmtId="189" fontId="2" fillId="0" borderId="43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vertical="center"/>
    </xf>
    <xf numFmtId="189" fontId="2" fillId="0" borderId="45" xfId="9" applyNumberFormat="1" applyFont="1" applyBorder="1" applyAlignment="1">
      <alignment vertical="center"/>
    </xf>
    <xf numFmtId="189" fontId="2" fillId="0" borderId="33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vertical="center" wrapText="1"/>
    </xf>
    <xf numFmtId="189" fontId="2" fillId="0" borderId="46" xfId="9" applyNumberFormat="1" applyFont="1" applyBorder="1"/>
    <xf numFmtId="189" fontId="2" fillId="0" borderId="45" xfId="9" applyNumberFormat="1" applyFont="1" applyBorder="1" applyAlignment="1">
      <alignment vertical="top" wrapText="1"/>
    </xf>
    <xf numFmtId="189" fontId="2" fillId="0" borderId="33" xfId="9" applyNumberFormat="1" applyFont="1" applyBorder="1" applyAlignment="1">
      <alignment horizontal="center" vertical="center" wrapText="1"/>
    </xf>
    <xf numFmtId="189" fontId="2" fillId="0" borderId="46" xfId="9" applyNumberFormat="1" applyFont="1" applyBorder="1" applyAlignment="1">
      <alignment wrapText="1"/>
    </xf>
    <xf numFmtId="189" fontId="2" fillId="0" borderId="43" xfId="9" applyNumberFormat="1" applyFont="1" applyBorder="1" applyAlignment="1">
      <alignment horizontal="center" vertical="center" wrapText="1"/>
    </xf>
    <xf numFmtId="190" fontId="2" fillId="0" borderId="21" xfId="9" applyNumberFormat="1" applyFont="1" applyBorder="1" applyAlignment="1">
      <alignment horizontal="center" vertical="center"/>
    </xf>
    <xf numFmtId="0" fontId="2" fillId="0" borderId="42" xfId="9" applyFont="1" applyBorder="1" applyAlignment="1">
      <alignment horizontal="center" vertical="top" wrapText="1"/>
    </xf>
    <xf numFmtId="189" fontId="20" fillId="0" borderId="0" xfId="9" applyNumberFormat="1" applyFont="1" applyAlignment="1">
      <alignment horizontal="center" vertical="center"/>
    </xf>
    <xf numFmtId="189" fontId="10" fillId="0" borderId="0" xfId="9" applyNumberFormat="1" applyFont="1" applyAlignment="1">
      <alignment horizontal="left" vertical="center"/>
    </xf>
    <xf numFmtId="189" fontId="10" fillId="0" borderId="0" xfId="9" applyNumberFormat="1" applyFont="1" applyAlignment="1">
      <alignment horizontal="center" vertical="center"/>
    </xf>
    <xf numFmtId="181" fontId="2" fillId="0" borderId="41" xfId="9" applyNumberFormat="1" applyFont="1" applyBorder="1" applyAlignment="1">
      <alignment horizontal="center" vertical="center" wrapText="1"/>
    </xf>
    <xf numFmtId="189" fontId="2" fillId="0" borderId="0" xfId="9" applyNumberFormat="1" applyFont="1" applyAlignment="1">
      <alignment horizontal="center" vertical="center"/>
    </xf>
    <xf numFmtId="189" fontId="2" fillId="0" borderId="36" xfId="9" applyNumberFormat="1" applyFont="1" applyBorder="1" applyAlignment="1">
      <alignment horizontal="center" vertical="center"/>
    </xf>
    <xf numFmtId="181" fontId="2" fillId="0" borderId="42" xfId="9" applyNumberFormat="1" applyFont="1" applyBorder="1" applyAlignment="1">
      <alignment horizontal="center" vertical="top" wrapText="1"/>
    </xf>
    <xf numFmtId="189" fontId="2" fillId="0" borderId="38" xfId="9" applyNumberFormat="1" applyFont="1" applyBorder="1" applyAlignment="1">
      <alignment horizontal="center" vertical="center"/>
    </xf>
    <xf numFmtId="189" fontId="2" fillId="0" borderId="44" xfId="9" applyNumberFormat="1" applyFont="1" applyBorder="1" applyAlignment="1">
      <alignment horizontal="left" vertical="center"/>
    </xf>
    <xf numFmtId="189" fontId="2" fillId="0" borderId="34" xfId="9" applyNumberFormat="1" applyFont="1" applyBorder="1" applyAlignment="1">
      <alignment horizontal="center" vertical="center"/>
    </xf>
    <xf numFmtId="189" fontId="2" fillId="0" borderId="45" xfId="9" applyNumberFormat="1" applyFont="1" applyBorder="1" applyAlignment="1">
      <alignment horizontal="left" vertical="center" wrapText="1"/>
    </xf>
    <xf numFmtId="189" fontId="2" fillId="0" borderId="47" xfId="9" applyNumberFormat="1" applyFont="1" applyBorder="1" applyAlignment="1">
      <alignment horizontal="left"/>
    </xf>
    <xf numFmtId="189" fontId="2" fillId="0" borderId="47" xfId="9" applyNumberFormat="1" applyFont="1" applyBorder="1" applyAlignment="1">
      <alignment horizontal="left" vertical="top"/>
    </xf>
    <xf numFmtId="189" fontId="2" fillId="0" borderId="44" xfId="9" applyNumberFormat="1" applyFont="1" applyBorder="1" applyAlignment="1">
      <alignment horizontal="left" vertical="center" wrapText="1"/>
    </xf>
    <xf numFmtId="189" fontId="2" fillId="0" borderId="46" xfId="9" applyNumberFormat="1" applyFont="1" applyBorder="1" applyAlignment="1">
      <alignment horizontal="left"/>
    </xf>
    <xf numFmtId="189" fontId="2" fillId="0" borderId="45" xfId="9" applyNumberFormat="1" applyFont="1" applyBorder="1" applyAlignment="1">
      <alignment horizontal="left" vertical="top"/>
    </xf>
    <xf numFmtId="181" fontId="2" fillId="0" borderId="21" xfId="9" applyNumberFormat="1" applyFont="1" applyBorder="1" applyAlignment="1">
      <alignment vertical="center"/>
    </xf>
    <xf numFmtId="189" fontId="2" fillId="0" borderId="0" xfId="9" applyNumberFormat="1" applyFont="1" applyAlignment="1">
      <alignment horizontal="left" vertical="center"/>
    </xf>
    <xf numFmtId="181" fontId="2" fillId="0" borderId="0" xfId="9" applyNumberFormat="1" applyFont="1" applyAlignment="1">
      <alignment vertical="center"/>
    </xf>
    <xf numFmtId="0" fontId="2" fillId="0" borderId="41" xfId="9" applyFont="1" applyBorder="1" applyAlignment="1">
      <alignment horizontal="center" vertical="center" wrapText="1"/>
    </xf>
    <xf numFmtId="0" fontId="2" fillId="0" borderId="42" xfId="9" applyFont="1" applyBorder="1" applyAlignment="1">
      <alignment horizontal="center" vertical="center" wrapText="1"/>
    </xf>
    <xf numFmtId="189" fontId="2" fillId="0" borderId="46" xfId="9" applyNumberFormat="1" applyFont="1" applyBorder="1" applyAlignment="1">
      <alignment horizontal="left" wrapText="1"/>
    </xf>
    <xf numFmtId="189" fontId="2" fillId="0" borderId="47" xfId="9" applyNumberFormat="1" applyFont="1" applyBorder="1" applyAlignment="1">
      <alignment horizontal="left" vertical="top" wrapText="1"/>
    </xf>
    <xf numFmtId="189" fontId="2" fillId="0" borderId="45" xfId="9" applyNumberFormat="1" applyFont="1" applyBorder="1" applyAlignment="1">
      <alignment vertical="top"/>
    </xf>
    <xf numFmtId="189" fontId="2" fillId="0" borderId="43" xfId="9" applyNumberFormat="1" applyFont="1" applyBorder="1" applyAlignment="1">
      <alignment horizontal="left" vertical="center"/>
    </xf>
    <xf numFmtId="189" fontId="2" fillId="0" borderId="21" xfId="9" applyNumberFormat="1" applyFont="1" applyBorder="1" applyAlignment="1">
      <alignment vertical="center"/>
    </xf>
    <xf numFmtId="189" fontId="2" fillId="0" borderId="43" xfId="9" applyNumberFormat="1" applyFont="1" applyBorder="1" applyAlignment="1">
      <alignment vertical="center"/>
    </xf>
    <xf numFmtId="189" fontId="2" fillId="0" borderId="43" xfId="9" applyNumberFormat="1" applyFont="1" applyBorder="1" applyAlignment="1">
      <alignment vertical="center" wrapText="1"/>
    </xf>
    <xf numFmtId="189" fontId="0" fillId="0" borderId="44" xfId="9" applyNumberFormat="1" applyFont="1" applyBorder="1" applyAlignment="1">
      <alignment vertical="center" wrapText="1"/>
    </xf>
    <xf numFmtId="189" fontId="2" fillId="0" borderId="43" xfId="9" applyNumberFormat="1" applyFont="1" applyBorder="1" applyAlignment="1">
      <alignment horizontal="left" vertical="center" wrapText="1"/>
    </xf>
    <xf numFmtId="189" fontId="0" fillId="0" borderId="0" xfId="9" applyNumberFormat="1" applyFont="1" applyAlignment="1">
      <alignment horizontal="center" vertical="center"/>
    </xf>
    <xf numFmtId="189" fontId="26" fillId="0" borderId="0" xfId="9" applyNumberFormat="1" applyFont="1" applyAlignment="1">
      <alignment horizontal="right" vertical="center"/>
    </xf>
    <xf numFmtId="0" fontId="26" fillId="0" borderId="0" xfId="9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176" fontId="21" fillId="0" borderId="0" xfId="0" applyNumberFormat="1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87" fontId="21" fillId="0" borderId="0" xfId="0" applyNumberFormat="1" applyFont="1" applyAlignment="1">
      <alignment horizontal="center" vertical="center"/>
    </xf>
    <xf numFmtId="0" fontId="22" fillId="9" borderId="43" xfId="0" applyFont="1" applyFill="1" applyBorder="1" applyAlignment="1">
      <alignment horizontal="center" vertical="center"/>
    </xf>
    <xf numFmtId="0" fontId="22" fillId="9" borderId="20" xfId="0" applyFont="1" applyFill="1" applyBorder="1" applyAlignment="1">
      <alignment horizontal="center" vertical="center"/>
    </xf>
    <xf numFmtId="187" fontId="21" fillId="10" borderId="20" xfId="0" applyNumberFormat="1" applyFont="1" applyFill="1" applyBorder="1" applyAlignment="1">
      <alignment horizontal="center" vertical="center" wrapText="1"/>
    </xf>
    <xf numFmtId="0" fontId="21" fillId="10" borderId="20" xfId="0" applyNumberFormat="1" applyFont="1" applyFill="1" applyBorder="1" applyAlignment="1">
      <alignment horizontal="center" vertical="center"/>
    </xf>
    <xf numFmtId="187" fontId="21" fillId="10" borderId="20" xfId="0" applyNumberFormat="1" applyFont="1" applyFill="1" applyBorder="1" applyAlignment="1">
      <alignment horizontal="center" vertical="center"/>
    </xf>
    <xf numFmtId="180" fontId="21" fillId="10" borderId="20" xfId="0" applyNumberFormat="1" applyFont="1" applyFill="1" applyBorder="1" applyAlignment="1">
      <alignment horizontal="center" vertical="center"/>
    </xf>
    <xf numFmtId="41" fontId="21" fillId="10" borderId="20" xfId="0" applyNumberFormat="1" applyFont="1" applyFill="1" applyBorder="1" applyAlignment="1">
      <alignment horizontal="center" vertical="center"/>
    </xf>
    <xf numFmtId="41" fontId="21" fillId="10" borderId="37" xfId="0" applyNumberFormat="1" applyFont="1" applyFill="1" applyBorder="1" applyAlignment="1">
      <alignment horizontal="center" vertical="center"/>
    </xf>
    <xf numFmtId="0" fontId="22" fillId="9" borderId="81" xfId="0" applyFont="1" applyFill="1" applyBorder="1" applyAlignment="1">
      <alignment horizontal="center" vertical="center"/>
    </xf>
    <xf numFmtId="0" fontId="22" fillId="8" borderId="10" xfId="0" applyFont="1" applyFill="1" applyBorder="1" applyAlignment="1">
      <alignment horizontal="center" vertical="center"/>
    </xf>
    <xf numFmtId="0" fontId="22" fillId="8" borderId="85" xfId="0" applyFont="1" applyFill="1" applyBorder="1" applyAlignment="1">
      <alignment horizontal="center" vertical="center"/>
    </xf>
    <xf numFmtId="179" fontId="22" fillId="8" borderId="86" xfId="0" applyNumberFormat="1" applyFont="1" applyFill="1" applyBorder="1" applyAlignment="1">
      <alignment horizontal="right" vertical="center"/>
    </xf>
    <xf numFmtId="0" fontId="22" fillId="8" borderId="17" xfId="0" applyFont="1" applyFill="1" applyBorder="1" applyAlignment="1">
      <alignment horizontal="center" vertical="center"/>
    </xf>
    <xf numFmtId="0" fontId="21" fillId="10" borderId="7" xfId="0" applyNumberFormat="1" applyFont="1" applyFill="1" applyBorder="1" applyAlignment="1">
      <alignment horizontal="center" vertical="center"/>
    </xf>
    <xf numFmtId="179" fontId="22" fillId="8" borderId="87" xfId="0" applyNumberFormat="1" applyFont="1" applyFill="1" applyBorder="1" applyAlignment="1">
      <alignment vertical="center"/>
    </xf>
    <xf numFmtId="179" fontId="22" fillId="8" borderId="88" xfId="0" applyNumberFormat="1" applyFont="1" applyFill="1" applyBorder="1" applyAlignment="1">
      <alignment vertical="center"/>
    </xf>
    <xf numFmtId="0" fontId="28" fillId="10" borderId="20" xfId="0" applyNumberFormat="1" applyFont="1" applyFill="1" applyBorder="1" applyAlignment="1">
      <alignment horizontal="center" vertical="center"/>
    </xf>
    <xf numFmtId="187" fontId="28" fillId="10" borderId="16" xfId="0" applyNumberFormat="1" applyFont="1" applyFill="1" applyBorder="1" applyAlignment="1">
      <alignment horizontal="center" vertical="center" wrapText="1"/>
    </xf>
    <xf numFmtId="189" fontId="2" fillId="0" borderId="64" xfId="9" applyNumberFormat="1" applyFont="1" applyBorder="1" applyAlignment="1">
      <alignment horizontal="center" vertical="center" wrapText="1"/>
    </xf>
    <xf numFmtId="189" fontId="4" fillId="0" borderId="39" xfId="9" applyNumberFormat="1" applyFont="1" applyBorder="1" applyAlignment="1">
      <alignment horizontal="center" vertical="center" wrapText="1"/>
    </xf>
    <xf numFmtId="189" fontId="4" fillId="0" borderId="65" xfId="9" applyNumberFormat="1" applyFont="1" applyBorder="1" applyAlignment="1">
      <alignment horizontal="center" vertical="center" wrapText="1"/>
    </xf>
    <xf numFmtId="189" fontId="4" fillId="0" borderId="66" xfId="9" applyNumberFormat="1" applyFont="1" applyBorder="1" applyAlignment="1">
      <alignment horizontal="center" vertical="center" wrapText="1"/>
    </xf>
    <xf numFmtId="189" fontId="4" fillId="0" borderId="67" xfId="9" applyNumberFormat="1" applyFont="1" applyBorder="1" applyAlignment="1">
      <alignment horizontal="center" vertical="center" wrapText="1"/>
    </xf>
    <xf numFmtId="189" fontId="2" fillId="0" borderId="60" xfId="9" applyNumberFormat="1" applyFont="1" applyBorder="1" applyAlignment="1">
      <alignment horizontal="center" vertical="center"/>
    </xf>
    <xf numFmtId="189" fontId="2" fillId="0" borderId="61" xfId="9" applyNumberFormat="1" applyFont="1" applyBorder="1" applyAlignment="1">
      <alignment horizontal="center" vertical="center"/>
    </xf>
    <xf numFmtId="186" fontId="2" fillId="0" borderId="62" xfId="9" applyNumberFormat="1" applyFont="1" applyBorder="1" applyAlignment="1">
      <alignment horizontal="center" vertical="center"/>
    </xf>
    <xf numFmtId="186" fontId="2" fillId="0" borderId="61" xfId="9" applyNumberFormat="1" applyFont="1" applyBorder="1" applyAlignment="1">
      <alignment horizontal="center" vertical="center"/>
    </xf>
    <xf numFmtId="186" fontId="2" fillId="0" borderId="63" xfId="9" applyNumberFormat="1" applyFont="1" applyBorder="1" applyAlignment="1">
      <alignment horizontal="center" vertical="center"/>
    </xf>
    <xf numFmtId="189" fontId="2" fillId="0" borderId="71" xfId="9" applyNumberFormat="1" applyFont="1" applyBorder="1" applyAlignment="1">
      <alignment horizontal="left" vertical="center" wrapText="1"/>
    </xf>
    <xf numFmtId="189" fontId="2" fillId="0" borderId="40" xfId="9" applyNumberFormat="1" applyFont="1" applyBorder="1" applyAlignment="1">
      <alignment horizontal="center" vertical="center" wrapText="1"/>
    </xf>
    <xf numFmtId="186" fontId="2" fillId="0" borderId="43" xfId="9" applyNumberFormat="1" applyFont="1" applyBorder="1" applyAlignment="1">
      <alignment horizontal="center" vertical="center"/>
    </xf>
    <xf numFmtId="189" fontId="2" fillId="0" borderId="59" xfId="9" applyNumberFormat="1" applyFont="1" applyBorder="1" applyAlignment="1">
      <alignment horizontal="left" vertical="center" wrapText="1"/>
    </xf>
    <xf numFmtId="186" fontId="2" fillId="0" borderId="55" xfId="9" applyNumberFormat="1" applyFont="1" applyBorder="1" applyAlignment="1">
      <alignment horizontal="center" vertical="center"/>
    </xf>
    <xf numFmtId="189" fontId="2" fillId="0" borderId="1" xfId="9" applyNumberFormat="1" applyFont="1" applyBorder="1" applyAlignment="1">
      <alignment horizontal="center" vertical="center" wrapText="1"/>
    </xf>
    <xf numFmtId="189" fontId="2" fillId="0" borderId="1" xfId="9" applyNumberFormat="1" applyFont="1" applyBorder="1" applyAlignment="1">
      <alignment horizontal="center" vertical="center"/>
    </xf>
    <xf numFmtId="189" fontId="2" fillId="0" borderId="33" xfId="9" applyNumberFormat="1" applyFont="1" applyBorder="1" applyAlignment="1">
      <alignment horizontal="center" vertical="center" wrapText="1"/>
    </xf>
    <xf numFmtId="189" fontId="2" fillId="0" borderId="35" xfId="9" applyNumberFormat="1" applyFont="1" applyBorder="1" applyAlignment="1">
      <alignment horizontal="center" vertical="center" wrapText="1"/>
    </xf>
    <xf numFmtId="189" fontId="2" fillId="0" borderId="37" xfId="9" applyNumberFormat="1" applyFont="1" applyBorder="1" applyAlignment="1">
      <alignment horizontal="center" vertical="center" wrapText="1"/>
    </xf>
    <xf numFmtId="189" fontId="2" fillId="0" borderId="44" xfId="9" applyNumberFormat="1" applyFont="1" applyBorder="1" applyAlignment="1">
      <alignment vertical="center" wrapText="1"/>
    </xf>
    <xf numFmtId="189" fontId="2" fillId="0" borderId="44" xfId="9" applyNumberFormat="1" applyFont="1" applyBorder="1" applyAlignment="1">
      <alignment vertical="center"/>
    </xf>
    <xf numFmtId="189" fontId="2" fillId="0" borderId="33" xfId="9" applyNumberFormat="1" applyFont="1" applyBorder="1" applyAlignment="1">
      <alignment horizontal="center" vertical="center"/>
    </xf>
    <xf numFmtId="189" fontId="2" fillId="0" borderId="37" xfId="9" applyNumberFormat="1" applyFont="1" applyBorder="1" applyAlignment="1">
      <alignment horizontal="center" vertical="center"/>
    </xf>
    <xf numFmtId="181" fontId="2" fillId="0" borderId="20" xfId="9" quotePrefix="1" applyNumberFormat="1" applyFont="1" applyBorder="1" applyAlignment="1">
      <alignment horizontal="center" vertical="center"/>
    </xf>
    <xf numFmtId="181" fontId="2" fillId="0" borderId="20" xfId="9" applyNumberFormat="1" applyFont="1" applyBorder="1" applyAlignment="1">
      <alignment horizontal="center" vertical="center"/>
    </xf>
    <xf numFmtId="189" fontId="2" fillId="0" borderId="35" xfId="9" applyNumberFormat="1" applyFont="1" applyBorder="1" applyAlignment="1">
      <alignment horizontal="center" vertical="center"/>
    </xf>
    <xf numFmtId="181" fontId="2" fillId="0" borderId="20" xfId="9" quotePrefix="1" applyNumberFormat="1" applyFont="1" applyBorder="1" applyAlignment="1">
      <alignment horizontal="center" vertical="center" wrapText="1"/>
    </xf>
    <xf numFmtId="189" fontId="2" fillId="0" borderId="46" xfId="9" applyNumberFormat="1" applyFont="1" applyBorder="1" applyAlignment="1">
      <alignment vertical="center"/>
    </xf>
    <xf numFmtId="189" fontId="2" fillId="0" borderId="45" xfId="9" applyNumberFormat="1" applyFont="1" applyBorder="1" applyAlignment="1">
      <alignment vertical="center"/>
    </xf>
    <xf numFmtId="186" fontId="2" fillId="0" borderId="34" xfId="9" applyNumberFormat="1" applyFont="1" applyBorder="1" applyAlignment="1">
      <alignment horizontal="center" vertical="center"/>
    </xf>
    <xf numFmtId="186" fontId="2" fillId="0" borderId="36" xfId="9" applyNumberFormat="1" applyFont="1" applyBorder="1" applyAlignment="1">
      <alignment horizontal="center" vertical="center"/>
    </xf>
    <xf numFmtId="186" fontId="2" fillId="0" borderId="38" xfId="9" applyNumberFormat="1" applyFont="1" applyBorder="1" applyAlignment="1">
      <alignment horizontal="center" vertical="center"/>
    </xf>
    <xf numFmtId="189" fontId="2" fillId="0" borderId="46" xfId="9" applyNumberFormat="1" applyFont="1" applyBorder="1" applyAlignment="1">
      <alignment horizontal="left" vertical="center"/>
    </xf>
    <xf numFmtId="189" fontId="2" fillId="0" borderId="45" xfId="9" applyNumberFormat="1" applyFont="1" applyBorder="1" applyAlignment="1">
      <alignment horizontal="left" vertical="center"/>
    </xf>
    <xf numFmtId="189" fontId="2" fillId="0" borderId="56" xfId="9" applyNumberFormat="1" applyFont="1" applyBorder="1" applyAlignment="1">
      <alignment horizontal="center" vertical="center" wrapText="1"/>
    </xf>
    <xf numFmtId="189" fontId="2" fillId="0" borderId="57" xfId="9" applyNumberFormat="1" applyFont="1" applyBorder="1" applyAlignment="1">
      <alignment horizontal="center" vertical="center" wrapText="1"/>
    </xf>
    <xf numFmtId="189" fontId="2" fillId="0" borderId="48" xfId="9" applyNumberFormat="1" applyFont="1" applyBorder="1" applyAlignment="1">
      <alignment horizontal="center" vertical="center" wrapText="1"/>
    </xf>
    <xf numFmtId="181" fontId="2" fillId="0" borderId="41" xfId="9" quotePrefix="1" applyNumberFormat="1" applyFont="1" applyBorder="1" applyAlignment="1">
      <alignment horizontal="center" vertical="center"/>
    </xf>
    <xf numFmtId="181" fontId="2" fillId="0" borderId="58" xfId="9" quotePrefix="1" applyNumberFormat="1" applyFont="1" applyBorder="1" applyAlignment="1">
      <alignment horizontal="center" vertical="center"/>
    </xf>
    <xf numFmtId="181" fontId="2" fillId="0" borderId="42" xfId="9" quotePrefix="1" applyNumberFormat="1" applyFont="1" applyBorder="1" applyAlignment="1">
      <alignment horizontal="center" vertical="center"/>
    </xf>
    <xf numFmtId="181" fontId="2" fillId="0" borderId="41" xfId="9" applyNumberFormat="1" applyFont="1" applyBorder="1" applyAlignment="1">
      <alignment horizontal="center" vertical="center"/>
    </xf>
    <xf numFmtId="181" fontId="2" fillId="0" borderId="58" xfId="9" applyNumberFormat="1" applyFont="1" applyBorder="1" applyAlignment="1">
      <alignment horizontal="center" vertical="center"/>
    </xf>
    <xf numFmtId="181" fontId="2" fillId="0" borderId="42" xfId="9" applyNumberFormat="1" applyFont="1" applyBorder="1" applyAlignment="1">
      <alignment horizontal="center" vertical="center"/>
    </xf>
    <xf numFmtId="186" fontId="2" fillId="0" borderId="33" xfId="9" applyNumberFormat="1" applyFont="1" applyBorder="1" applyAlignment="1">
      <alignment horizontal="center" vertical="center"/>
    </xf>
    <xf numFmtId="186" fontId="2" fillId="0" borderId="35" xfId="9" applyNumberFormat="1" applyFont="1" applyBorder="1" applyAlignment="1">
      <alignment horizontal="center" vertical="center"/>
    </xf>
    <xf numFmtId="186" fontId="2" fillId="0" borderId="37" xfId="9" applyNumberFormat="1" applyFont="1" applyBorder="1" applyAlignment="1">
      <alignment horizontal="center" vertical="center"/>
    </xf>
    <xf numFmtId="189" fontId="2" fillId="0" borderId="54" xfId="9" applyNumberFormat="1" applyFont="1" applyBorder="1" applyAlignment="1">
      <alignment horizontal="left" vertical="center" wrapText="1"/>
    </xf>
    <xf numFmtId="189" fontId="2" fillId="0" borderId="0" xfId="9" applyNumberFormat="1" applyFont="1" applyAlignment="1">
      <alignment horizontal="left" vertical="center" wrapText="1"/>
    </xf>
    <xf numFmtId="189" fontId="2" fillId="0" borderId="53" xfId="9" applyNumberFormat="1" applyFont="1" applyBorder="1" applyAlignment="1">
      <alignment horizontal="left" vertical="center" wrapText="1"/>
    </xf>
    <xf numFmtId="189" fontId="2" fillId="0" borderId="49" xfId="9" applyNumberFormat="1" applyFont="1" applyBorder="1" applyAlignment="1">
      <alignment horizontal="center" vertical="center" wrapText="1"/>
    </xf>
    <xf numFmtId="189" fontId="2" fillId="0" borderId="51" xfId="9" applyNumberFormat="1" applyFont="1" applyBorder="1" applyAlignment="1">
      <alignment horizontal="center" vertical="center" wrapText="1"/>
    </xf>
    <xf numFmtId="189" fontId="2" fillId="0" borderId="52" xfId="9" applyNumberFormat="1" applyFont="1" applyBorder="1" applyAlignment="1">
      <alignment horizontal="center" vertical="center" wrapText="1"/>
    </xf>
    <xf numFmtId="189" fontId="2" fillId="0" borderId="0" xfId="9" applyNumberFormat="1" applyFont="1" applyAlignment="1">
      <alignment horizontal="center" vertical="center" wrapText="1"/>
    </xf>
    <xf numFmtId="189" fontId="2" fillId="0" borderId="36" xfId="9" applyNumberFormat="1" applyFont="1" applyBorder="1" applyAlignment="1">
      <alignment horizontal="center" vertical="center" wrapText="1"/>
    </xf>
    <xf numFmtId="189" fontId="2" fillId="0" borderId="53" xfId="9" applyNumberFormat="1" applyFont="1" applyBorder="1" applyAlignment="1">
      <alignment horizontal="center" vertical="center" wrapText="1"/>
    </xf>
    <xf numFmtId="189" fontId="2" fillId="0" borderId="38" xfId="9" applyNumberFormat="1" applyFont="1" applyBorder="1" applyAlignment="1">
      <alignment horizontal="center" vertical="center" wrapText="1"/>
    </xf>
    <xf numFmtId="189" fontId="2" fillId="0" borderId="29" xfId="9" applyNumberFormat="1" applyFont="1" applyBorder="1" applyAlignment="1">
      <alignment horizontal="center" vertical="center"/>
    </xf>
    <xf numFmtId="189" fontId="2" fillId="0" borderId="49" xfId="9" applyNumberFormat="1" applyFont="1" applyBorder="1" applyAlignment="1">
      <alignment horizontal="center" vertical="center"/>
    </xf>
    <xf numFmtId="189" fontId="2" fillId="0" borderId="50" xfId="9" applyNumberFormat="1" applyFont="1" applyBorder="1" applyAlignment="1">
      <alignment horizontal="center" vertical="center"/>
    </xf>
    <xf numFmtId="189" fontId="2" fillId="0" borderId="47" xfId="9" applyNumberFormat="1" applyFont="1" applyBorder="1" applyAlignment="1">
      <alignment horizontal="center" vertical="center"/>
    </xf>
    <xf numFmtId="189" fontId="2" fillId="0" borderId="45" xfId="9" applyNumberFormat="1" applyFont="1" applyBorder="1" applyAlignment="1">
      <alignment horizontal="center" vertical="center"/>
    </xf>
    <xf numFmtId="189" fontId="2" fillId="0" borderId="31" xfId="9" applyNumberFormat="1" applyFont="1" applyBorder="1" applyAlignment="1">
      <alignment horizontal="center" vertical="center"/>
    </xf>
    <xf numFmtId="189" fontId="2" fillId="0" borderId="43" xfId="9" applyNumberFormat="1" applyFont="1" applyBorder="1" applyAlignment="1">
      <alignment horizontal="center" vertical="center"/>
    </xf>
    <xf numFmtId="189" fontId="2" fillId="0" borderId="75" xfId="9" applyNumberFormat="1" applyFont="1" applyBorder="1" applyAlignment="1">
      <alignment horizontal="center" vertical="center" wrapText="1"/>
    </xf>
    <xf numFmtId="189" fontId="2" fillId="0" borderId="76" xfId="9" applyNumberFormat="1" applyFont="1" applyBorder="1" applyAlignment="1">
      <alignment horizontal="center" vertical="center" wrapText="1"/>
    </xf>
    <xf numFmtId="189" fontId="2" fillId="0" borderId="77" xfId="9" applyNumberFormat="1" applyFont="1" applyBorder="1" applyAlignment="1">
      <alignment horizontal="center" vertical="center" wrapText="1"/>
    </xf>
    <xf numFmtId="189" fontId="2" fillId="0" borderId="78" xfId="9" applyNumberFormat="1" applyFont="1" applyBorder="1" applyAlignment="1">
      <alignment horizontal="center" vertical="center" wrapText="1"/>
    </xf>
    <xf numFmtId="189" fontId="2" fillId="0" borderId="79" xfId="9" applyNumberFormat="1" applyFont="1" applyBorder="1" applyAlignment="1">
      <alignment horizontal="center" vertical="center" wrapText="1"/>
    </xf>
    <xf numFmtId="189" fontId="2" fillId="0" borderId="80" xfId="9" applyNumberFormat="1" applyFont="1" applyBorder="1" applyAlignment="1">
      <alignment horizontal="center" vertical="center" wrapText="1"/>
    </xf>
    <xf numFmtId="189" fontId="2" fillId="0" borderId="72" xfId="9" applyNumberFormat="1" applyFont="1" applyBorder="1" applyAlignment="1">
      <alignment horizontal="left" vertical="center" wrapText="1"/>
    </xf>
    <xf numFmtId="189" fontId="2" fillId="0" borderId="74" xfId="9" applyNumberFormat="1" applyFont="1" applyBorder="1" applyAlignment="1">
      <alignment horizontal="left" vertical="center" wrapText="1"/>
    </xf>
    <xf numFmtId="189" fontId="2" fillId="0" borderId="73" xfId="9" applyNumberFormat="1" applyFont="1" applyBorder="1" applyAlignment="1">
      <alignment horizontal="left" vertical="center" wrapText="1"/>
    </xf>
    <xf numFmtId="189" fontId="2" fillId="0" borderId="55" xfId="9" applyNumberFormat="1" applyFont="1" applyBorder="1" applyAlignment="1">
      <alignment horizontal="center" vertical="center"/>
    </xf>
    <xf numFmtId="189" fontId="2" fillId="0" borderId="71" xfId="9" applyNumberFormat="1" applyFont="1" applyBorder="1" applyAlignment="1">
      <alignment horizontal="center" vertical="center" wrapText="1"/>
    </xf>
    <xf numFmtId="189" fontId="2" fillId="0" borderId="34" xfId="9" applyNumberFormat="1" applyFont="1" applyBorder="1" applyAlignment="1">
      <alignment horizontal="center" vertical="center"/>
    </xf>
    <xf numFmtId="189" fontId="2" fillId="0" borderId="36" xfId="9" applyNumberFormat="1" applyFont="1" applyBorder="1" applyAlignment="1">
      <alignment horizontal="center" vertical="center"/>
    </xf>
    <xf numFmtId="189" fontId="2" fillId="0" borderId="2" xfId="9" applyNumberFormat="1" applyFont="1" applyBorder="1" applyAlignment="1">
      <alignment horizontal="center" vertical="center"/>
    </xf>
    <xf numFmtId="189" fontId="2" fillId="0" borderId="68" xfId="9" applyNumberFormat="1" applyFont="1" applyBorder="1" applyAlignment="1">
      <alignment horizontal="center" vertical="center"/>
    </xf>
    <xf numFmtId="189" fontId="2" fillId="0" borderId="21" xfId="9" applyNumberFormat="1" applyFont="1" applyBorder="1" applyAlignment="1">
      <alignment horizontal="center" vertical="center"/>
    </xf>
    <xf numFmtId="189" fontId="2" fillId="0" borderId="62" xfId="9" applyNumberFormat="1" applyFont="1" applyBorder="1" applyAlignment="1">
      <alignment horizontal="center" vertical="center"/>
    </xf>
    <xf numFmtId="189" fontId="2" fillId="0" borderId="63" xfId="9" applyNumberFormat="1" applyFont="1" applyBorder="1" applyAlignment="1">
      <alignment horizontal="center" vertical="center"/>
    </xf>
    <xf numFmtId="191" fontId="2" fillId="0" borderId="20" xfId="9" applyNumberFormat="1" applyFont="1" applyBorder="1" applyAlignment="1">
      <alignment horizontal="center" vertical="center"/>
    </xf>
    <xf numFmtId="189" fontId="2" fillId="0" borderId="46" xfId="9" applyNumberFormat="1" applyFont="1" applyBorder="1" applyAlignment="1">
      <alignment horizontal="left" vertical="center" wrapText="1"/>
    </xf>
    <xf numFmtId="189" fontId="2" fillId="0" borderId="47" xfId="9" applyNumberFormat="1" applyFont="1" applyBorder="1" applyAlignment="1">
      <alignment horizontal="left" vertical="center" wrapText="1"/>
    </xf>
    <xf numFmtId="189" fontId="2" fillId="0" borderId="45" xfId="9" applyNumberFormat="1" applyFont="1" applyBorder="1" applyAlignment="1">
      <alignment horizontal="left" vertical="center" wrapText="1"/>
    </xf>
    <xf numFmtId="191" fontId="2" fillId="0" borderId="41" xfId="9" applyNumberFormat="1" applyFont="1" applyBorder="1" applyAlignment="1">
      <alignment horizontal="center" vertical="center"/>
    </xf>
    <xf numFmtId="191" fontId="2" fillId="0" borderId="58" xfId="9" applyNumberFormat="1" applyFont="1" applyBorder="1" applyAlignment="1">
      <alignment horizontal="center" vertical="center"/>
    </xf>
    <xf numFmtId="191" fontId="2" fillId="0" borderId="42" xfId="9" applyNumberFormat="1" applyFont="1" applyBorder="1" applyAlignment="1">
      <alignment horizontal="center" vertical="center"/>
    </xf>
    <xf numFmtId="189" fontId="2" fillId="0" borderId="43" xfId="9" applyNumberFormat="1" applyFont="1" applyBorder="1" applyAlignment="1">
      <alignment horizontal="center" vertical="center" wrapText="1"/>
    </xf>
    <xf numFmtId="189" fontId="2" fillId="0" borderId="44" xfId="9" applyNumberFormat="1" applyFont="1" applyBorder="1" applyAlignment="1">
      <alignment horizontal="left" vertical="center" wrapText="1"/>
    </xf>
    <xf numFmtId="189" fontId="2" fillId="0" borderId="44" xfId="9" applyNumberFormat="1" applyFont="1" applyBorder="1" applyAlignment="1">
      <alignment horizontal="left" vertical="center"/>
    </xf>
    <xf numFmtId="178" fontId="2" fillId="0" borderId="41" xfId="6" applyNumberFormat="1" applyFont="1" applyBorder="1" applyAlignment="1">
      <alignment horizontal="center" vertical="center"/>
    </xf>
    <xf numFmtId="178" fontId="2" fillId="0" borderId="58" xfId="6" applyNumberFormat="1" applyFont="1" applyBorder="1" applyAlignment="1">
      <alignment horizontal="center" vertical="center"/>
    </xf>
    <xf numFmtId="178" fontId="2" fillId="0" borderId="42" xfId="6" applyNumberFormat="1" applyFont="1" applyBorder="1" applyAlignment="1">
      <alignment horizontal="center" vertical="center"/>
    </xf>
    <xf numFmtId="189" fontId="2" fillId="0" borderId="47" xfId="9" applyNumberFormat="1" applyFont="1" applyBorder="1" applyAlignment="1">
      <alignment horizontal="left" vertical="center"/>
    </xf>
    <xf numFmtId="189" fontId="2" fillId="0" borderId="51" xfId="9" applyNumberFormat="1" applyFont="1" applyBorder="1" applyAlignment="1">
      <alignment horizontal="center" vertical="center"/>
    </xf>
    <xf numFmtId="189" fontId="2" fillId="0" borderId="52" xfId="9" applyNumberFormat="1" applyFont="1" applyBorder="1" applyAlignment="1">
      <alignment horizontal="center" vertical="center"/>
    </xf>
    <xf numFmtId="189" fontId="2" fillId="0" borderId="0" xfId="9" applyNumberFormat="1" applyFont="1" applyAlignment="1">
      <alignment horizontal="center" vertical="center"/>
    </xf>
    <xf numFmtId="189" fontId="2" fillId="0" borderId="53" xfId="9" applyNumberFormat="1" applyFont="1" applyBorder="1" applyAlignment="1">
      <alignment horizontal="center" vertical="center"/>
    </xf>
    <xf numFmtId="189" fontId="2" fillId="0" borderId="38" xfId="9" applyNumberFormat="1" applyFont="1" applyBorder="1" applyAlignment="1">
      <alignment horizontal="center" vertical="center"/>
    </xf>
    <xf numFmtId="189" fontId="2" fillId="0" borderId="20" xfId="9" quotePrefix="1" applyNumberFormat="1" applyFont="1" applyBorder="1" applyAlignment="1">
      <alignment horizontal="center" vertical="center"/>
    </xf>
    <xf numFmtId="189" fontId="2" fillId="0" borderId="20" xfId="9" applyNumberFormat="1" applyFont="1" applyBorder="1" applyAlignment="1">
      <alignment horizontal="center" vertical="center"/>
    </xf>
    <xf numFmtId="189" fontId="2" fillId="0" borderId="59" xfId="9" applyNumberFormat="1" applyFont="1" applyBorder="1" applyAlignment="1">
      <alignment horizontal="left" vertical="center"/>
    </xf>
    <xf numFmtId="189" fontId="2" fillId="0" borderId="41" xfId="9" quotePrefix="1" applyNumberFormat="1" applyFont="1" applyBorder="1" applyAlignment="1">
      <alignment horizontal="center" vertical="center"/>
    </xf>
    <xf numFmtId="189" fontId="2" fillId="0" borderId="58" xfId="9" applyNumberFormat="1" applyFont="1" applyBorder="1" applyAlignment="1">
      <alignment horizontal="center" vertical="center"/>
    </xf>
    <xf numFmtId="189" fontId="2" fillId="0" borderId="42" xfId="9" applyNumberFormat="1" applyFont="1" applyBorder="1" applyAlignment="1">
      <alignment horizontal="center" vertical="center"/>
    </xf>
    <xf numFmtId="189" fontId="2" fillId="0" borderId="58" xfId="9" quotePrefix="1" applyNumberFormat="1" applyFont="1" applyBorder="1" applyAlignment="1">
      <alignment horizontal="center" vertical="center"/>
    </xf>
    <xf numFmtId="189" fontId="2" fillId="0" borderId="42" xfId="9" quotePrefix="1" applyNumberFormat="1" applyFont="1" applyBorder="1" applyAlignment="1">
      <alignment horizontal="center" vertical="center"/>
    </xf>
    <xf numFmtId="189" fontId="2" fillId="0" borderId="54" xfId="9" applyNumberFormat="1" applyFont="1" applyBorder="1" applyAlignment="1">
      <alignment horizontal="left" vertical="center"/>
    </xf>
    <xf numFmtId="0" fontId="22" fillId="9" borderId="24" xfId="0" applyFont="1" applyFill="1" applyBorder="1" applyAlignment="1">
      <alignment horizontal="center" vertical="center"/>
    </xf>
    <xf numFmtId="0" fontId="22" fillId="9" borderId="16" xfId="0" applyFont="1" applyFill="1" applyBorder="1" applyAlignment="1">
      <alignment horizontal="center" vertical="center"/>
    </xf>
    <xf numFmtId="0" fontId="22" fillId="9" borderId="81" xfId="0" applyFont="1" applyFill="1" applyBorder="1" applyAlignment="1">
      <alignment horizontal="center" vertical="center"/>
    </xf>
    <xf numFmtId="0" fontId="22" fillId="9" borderId="20" xfId="0" applyFont="1" applyFill="1" applyBorder="1" applyAlignment="1">
      <alignment horizontal="center" vertical="center"/>
    </xf>
    <xf numFmtId="0" fontId="22" fillId="9" borderId="82" xfId="0" applyFont="1" applyFill="1" applyBorder="1" applyAlignment="1">
      <alignment horizontal="center" vertical="center"/>
    </xf>
    <xf numFmtId="0" fontId="22" fillId="9" borderId="83" xfId="0" applyFont="1" applyFill="1" applyBorder="1" applyAlignment="1">
      <alignment horizontal="center" vertical="center"/>
    </xf>
    <xf numFmtId="0" fontId="22" fillId="9" borderId="84" xfId="0" applyFont="1" applyFill="1" applyBorder="1" applyAlignment="1">
      <alignment horizontal="center" vertical="center"/>
    </xf>
    <xf numFmtId="0" fontId="22" fillId="8" borderId="85" xfId="0" applyFont="1" applyFill="1" applyBorder="1" applyAlignment="1">
      <alignment horizontal="center" vertical="center"/>
    </xf>
    <xf numFmtId="0" fontId="22" fillId="9" borderId="14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81" xfId="0" applyFont="1" applyFill="1" applyBorder="1" applyAlignment="1">
      <alignment horizontal="center" vertical="center" wrapText="1"/>
    </xf>
    <xf numFmtId="176" fontId="22" fillId="9" borderId="81" xfId="0" applyNumberFormat="1" applyFont="1" applyFill="1" applyBorder="1" applyAlignment="1">
      <alignment horizontal="center" vertical="center" wrapText="1"/>
    </xf>
    <xf numFmtId="176" fontId="22" fillId="9" borderId="20" xfId="0" applyNumberFormat="1" applyFont="1" applyFill="1" applyBorder="1" applyAlignment="1">
      <alignment horizontal="center" vertical="center" wrapText="1"/>
    </xf>
    <xf numFmtId="0" fontId="4" fillId="6" borderId="30" xfId="0" applyNumberFormat="1" applyFont="1" applyFill="1" applyBorder="1" applyAlignment="1">
      <alignment horizontal="center" vertical="center" wrapText="1"/>
    </xf>
    <xf numFmtId="0" fontId="4" fillId="6" borderId="28" xfId="0" applyNumberFormat="1" applyFont="1" applyFill="1" applyBorder="1" applyAlignment="1">
      <alignment horizontal="center" vertical="center" wrapText="1"/>
    </xf>
    <xf numFmtId="0" fontId="4" fillId="6" borderId="29" xfId="0" applyNumberFormat="1" applyFont="1" applyFill="1" applyBorder="1" applyAlignment="1">
      <alignment horizontal="center" vertical="center" wrapText="1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6" borderId="31" xfId="0" applyNumberFormat="1" applyFont="1" applyFill="1" applyBorder="1" applyAlignment="1">
      <alignment horizontal="center" vertical="center"/>
    </xf>
    <xf numFmtId="0" fontId="4" fillId="6" borderId="21" xfId="0" applyNumberFormat="1" applyFont="1" applyFill="1" applyBorder="1" applyAlignment="1">
      <alignment horizontal="center" vertical="center"/>
    </xf>
    <xf numFmtId="0" fontId="4" fillId="6" borderId="31" xfId="0" applyNumberFormat="1" applyFont="1" applyFill="1" applyBorder="1" applyAlignment="1">
      <alignment horizontal="center" vertical="center" wrapText="1"/>
    </xf>
    <xf numFmtId="0" fontId="4" fillId="6" borderId="21" xfId="0" applyNumberFormat="1" applyFont="1" applyFill="1" applyBorder="1" applyAlignment="1">
      <alignment horizontal="center" vertical="center" wrapText="1"/>
    </xf>
    <xf numFmtId="0" fontId="4" fillId="6" borderId="69" xfId="0" applyNumberFormat="1" applyFont="1" applyFill="1" applyBorder="1" applyAlignment="1">
      <alignment horizontal="center" vertical="center"/>
    </xf>
    <xf numFmtId="0" fontId="4" fillId="6" borderId="70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shrinkToFit="1"/>
    </xf>
    <xf numFmtId="0" fontId="16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184" fontId="4" fillId="0" borderId="21" xfId="0" applyNumberFormat="1" applyFont="1" applyBorder="1" applyAlignment="1">
      <alignment horizontal="right" vertical="center"/>
    </xf>
    <xf numFmtId="49" fontId="2" fillId="0" borderId="21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184" fontId="4" fillId="0" borderId="20" xfId="0" applyNumberFormat="1" applyFont="1" applyBorder="1" applyAlignment="1">
      <alignment horizontal="right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84" fontId="2" fillId="0" borderId="20" xfId="0" applyNumberFormat="1" applyFont="1" applyBorder="1" applyAlignment="1">
      <alignment horizontal="right" vertical="center"/>
    </xf>
    <xf numFmtId="41" fontId="2" fillId="0" borderId="20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center" vertical="center"/>
    </xf>
    <xf numFmtId="49" fontId="7" fillId="4" borderId="29" xfId="0" applyNumberFormat="1" applyFont="1" applyFill="1" applyBorder="1" applyAlignment="1">
      <alignment horizontal="center" vertical="center"/>
    </xf>
    <xf numFmtId="49" fontId="7" fillId="4" borderId="31" xfId="0" applyNumberFormat="1" applyFont="1" applyFill="1" applyBorder="1" applyAlignment="1">
      <alignment horizontal="center" vertical="center"/>
    </xf>
    <xf numFmtId="49" fontId="7" fillId="4" borderId="30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85" fontId="7" fillId="0" borderId="0" xfId="0" applyNumberFormat="1" applyFont="1" applyBorder="1" applyAlignment="1">
      <alignment horizontal="left" vertical="center"/>
    </xf>
    <xf numFmtId="183" fontId="8" fillId="0" borderId="32" xfId="0" applyNumberFormat="1" applyFont="1" applyBorder="1" applyAlignment="1">
      <alignment horizontal="center" vertical="center"/>
    </xf>
    <xf numFmtId="0" fontId="24" fillId="5" borderId="40" xfId="0" applyFont="1" applyFill="1" applyBorder="1" applyAlignment="1">
      <alignment horizontal="center" vertical="center"/>
    </xf>
    <xf numFmtId="0" fontId="24" fillId="5" borderId="64" xfId="0" applyFont="1" applyFill="1" applyBorder="1" applyAlignment="1">
      <alignment horizontal="center" vertical="center"/>
    </xf>
    <xf numFmtId="0" fontId="25" fillId="0" borderId="40" xfId="0" applyFont="1" applyBorder="1" applyAlignment="1">
      <alignment horizontal="left" vertical="center" wrapText="1"/>
    </xf>
    <xf numFmtId="0" fontId="25" fillId="0" borderId="64" xfId="0" applyFont="1" applyBorder="1" applyAlignment="1">
      <alignment horizontal="left" vertical="center" wrapText="1"/>
    </xf>
    <xf numFmtId="192" fontId="22" fillId="8" borderId="85" xfId="0" applyNumberFormat="1" applyFont="1" applyFill="1" applyBorder="1" applyAlignment="1">
      <alignment horizontal="center" vertical="center"/>
    </xf>
  </cellXfs>
  <cellStyles count="11">
    <cellStyle name="Comma [0]_ SG&amp;A Bridge " xfId="1" xr:uid="{00000000-0005-0000-0000-000000000000}"/>
    <cellStyle name="Comma_ SG&amp;A Bridge " xfId="2" xr:uid="{00000000-0005-0000-0000-000001000000}"/>
    <cellStyle name="Currency [0]_ SG&amp;A Bridge " xfId="3" xr:uid="{00000000-0005-0000-0000-000002000000}"/>
    <cellStyle name="Currency_ SG&amp;A Bridge " xfId="4" xr:uid="{00000000-0005-0000-0000-000003000000}"/>
    <cellStyle name="Normal_ SG&amp;A Bridge " xfId="5" xr:uid="{00000000-0005-0000-0000-000004000000}"/>
    <cellStyle name="쉼표 [0]" xfId="6" builtinId="6"/>
    <cellStyle name="쉼표 [0] 2" xfId="7" xr:uid="{00000000-0005-0000-0000-000006000000}"/>
    <cellStyle name="쉼표 [0] 2 2 2" xfId="8" xr:uid="{00000000-0005-0000-0000-000007000000}"/>
    <cellStyle name="표준" xfId="0" builtinId="0"/>
    <cellStyle name="표준 2" xfId="9" xr:uid="{00000000-0005-0000-0000-000009000000}"/>
    <cellStyle name="표준 3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409575</xdr:colOff>
      <xdr:row>0</xdr:row>
      <xdr:rowOff>76200</xdr:rowOff>
    </xdr:from>
    <xdr:to>
      <xdr:col>12</xdr:col>
      <xdr:colOff>381000</xdr:colOff>
      <xdr:row>5</xdr:row>
      <xdr:rowOff>28575</xdr:rowOff>
    </xdr:to>
    <xdr:pic>
      <xdr:nvPicPr>
        <xdr:cNvPr id="20808" name="그림 1">
          <a:extLst>
            <a:ext uri="{FF2B5EF4-FFF2-40B4-BE49-F238E27FC236}">
              <a16:creationId xmlns:a16="http://schemas.microsoft.com/office/drawing/2014/main" id="{00000000-0008-0000-0C00-0000485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57" t="7198" r="23151" b="86269"/>
        <a:stretch>
          <a:fillRect/>
        </a:stretch>
      </xdr:blipFill>
      <xdr:spPr bwMode="auto">
        <a:xfrm>
          <a:off x="1495425" y="76200"/>
          <a:ext cx="42576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457200</xdr:colOff>
      <xdr:row>0</xdr:row>
      <xdr:rowOff>76200</xdr:rowOff>
    </xdr:from>
    <xdr:to>
      <xdr:col>12</xdr:col>
      <xdr:colOff>361950</xdr:colOff>
      <xdr:row>5</xdr:row>
      <xdr:rowOff>28575</xdr:rowOff>
    </xdr:to>
    <xdr:pic>
      <xdr:nvPicPr>
        <xdr:cNvPr id="21832" name="그림 1">
          <a:extLst>
            <a:ext uri="{FF2B5EF4-FFF2-40B4-BE49-F238E27FC236}">
              <a16:creationId xmlns:a16="http://schemas.microsoft.com/office/drawing/2014/main" id="{00000000-0008-0000-0D00-0000485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957" t="7198" r="23151" b="86269"/>
        <a:stretch>
          <a:fillRect/>
        </a:stretch>
      </xdr:blipFill>
      <xdr:spPr bwMode="auto">
        <a:xfrm>
          <a:off x="1704975" y="76200"/>
          <a:ext cx="42195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C1:Q23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4.5703125" style="113" customWidth="1"/>
    <col min="3" max="3" width="8.140625" style="113" customWidth="1"/>
    <col min="4" max="4" width="0.85546875" style="113" customWidth="1"/>
    <col min="5" max="5" width="14" style="113" customWidth="1"/>
    <col min="6" max="6" width="0.85546875" style="113" customWidth="1"/>
    <col min="7" max="7" width="23" style="113" customWidth="1"/>
    <col min="8" max="9" width="11" style="113" customWidth="1"/>
    <col min="10" max="10" width="1" style="113" customWidth="1"/>
    <col min="11" max="11" width="18.140625" style="115" customWidth="1"/>
    <col min="12" max="12" width="1" style="115" customWidth="1"/>
    <col min="13" max="13" width="4.5703125" style="113" customWidth="1"/>
    <col min="14" max="14" width="12.5703125" style="113" customWidth="1"/>
    <col min="15" max="15" width="22.7109375" style="113" customWidth="1"/>
    <col min="16" max="16" width="9.140625" style="113"/>
    <col min="17" max="17" width="12.7109375" style="113" customWidth="1"/>
    <col min="18" max="16384" width="9.140625" style="113"/>
  </cols>
  <sheetData>
    <row r="1" spans="3:17" ht="15.75" customHeight="1">
      <c r="C1" s="114"/>
      <c r="H1" s="166" t="s">
        <v>314</v>
      </c>
      <c r="I1" s="167">
        <v>2</v>
      </c>
    </row>
    <row r="2" spans="3:17" ht="18.75" customHeight="1">
      <c r="C2" s="248" t="s">
        <v>186</v>
      </c>
      <c r="D2" s="249" t="s">
        <v>187</v>
      </c>
      <c r="E2" s="250"/>
      <c r="F2" s="249" t="s">
        <v>188</v>
      </c>
      <c r="G2" s="250"/>
      <c r="H2" s="253" t="s">
        <v>189</v>
      </c>
      <c r="I2" s="253"/>
      <c r="J2" s="241" t="s">
        <v>190</v>
      </c>
      <c r="K2" s="242"/>
      <c r="L2" s="243"/>
    </row>
    <row r="3" spans="3:17" ht="18.75" customHeight="1">
      <c r="C3" s="207"/>
      <c r="D3" s="217"/>
      <c r="E3" s="251"/>
      <c r="F3" s="217"/>
      <c r="G3" s="251"/>
      <c r="H3" s="117" t="s">
        <v>191</v>
      </c>
      <c r="I3" s="117" t="s">
        <v>192</v>
      </c>
      <c r="J3" s="209"/>
      <c r="K3" s="244"/>
      <c r="L3" s="245"/>
    </row>
    <row r="4" spans="3:17" ht="18.75" customHeight="1" thickBot="1">
      <c r="C4" s="207"/>
      <c r="D4" s="214"/>
      <c r="E4" s="252"/>
      <c r="F4" s="214"/>
      <c r="G4" s="252"/>
      <c r="H4" s="120" t="e">
        <f>VLOOKUP(I1,#REF!,8,0)</f>
        <v>#REF!</v>
      </c>
      <c r="I4" s="121">
        <f>I1</f>
        <v>2</v>
      </c>
      <c r="J4" s="210"/>
      <c r="K4" s="246"/>
      <c r="L4" s="247"/>
      <c r="N4" s="139"/>
      <c r="O4" s="165" t="s">
        <v>312</v>
      </c>
      <c r="P4" s="139"/>
      <c r="Q4" s="165" t="s">
        <v>311</v>
      </c>
    </row>
    <row r="5" spans="3:17" ht="28.5" customHeight="1" thickBot="1">
      <c r="C5" s="206" t="s">
        <v>193</v>
      </c>
      <c r="D5" s="254"/>
      <c r="E5" s="212" t="s">
        <v>194</v>
      </c>
      <c r="F5" s="123"/>
      <c r="G5" s="124" t="s">
        <v>195</v>
      </c>
      <c r="H5" s="218">
        <v>1</v>
      </c>
      <c r="I5" s="216" t="e">
        <f>VLOOKUP($I$1,#REF!,13,0)</f>
        <v>#REF!</v>
      </c>
      <c r="J5" s="203"/>
      <c r="K5" s="238" t="e">
        <f>Q5</f>
        <v>#REF!</v>
      </c>
      <c r="L5" s="205"/>
      <c r="N5" s="202" t="e">
        <f>IF(I5=1,"유사함.","본건은 비교표준지 대비 ")</f>
        <v>#REF!</v>
      </c>
      <c r="O5" s="201" t="s">
        <v>310</v>
      </c>
      <c r="P5" s="191" t="e">
        <f>IF(I5=1,"",IF(I5&gt;1,"에서 우세함.","에서 열세함."))</f>
        <v>#REF!</v>
      </c>
      <c r="Q5" s="192" t="e">
        <f>IF(N5="유사함.",N5,N5&amp;O5&amp;P5)</f>
        <v>#REF!</v>
      </c>
    </row>
    <row r="6" spans="3:17" ht="28.5" customHeight="1" thickBot="1">
      <c r="C6" s="207"/>
      <c r="D6" s="254"/>
      <c r="E6" s="212"/>
      <c r="F6" s="119"/>
      <c r="G6" s="125" t="s">
        <v>196</v>
      </c>
      <c r="H6" s="216"/>
      <c r="I6" s="216"/>
      <c r="J6" s="203"/>
      <c r="K6" s="240"/>
      <c r="L6" s="205"/>
      <c r="N6" s="202"/>
      <c r="O6" s="201"/>
      <c r="P6" s="191"/>
      <c r="Q6" s="192"/>
    </row>
    <row r="7" spans="3:17" ht="28.5" customHeight="1" thickBot="1">
      <c r="C7" s="226" t="s">
        <v>197</v>
      </c>
      <c r="D7" s="123"/>
      <c r="E7" s="124" t="s">
        <v>198</v>
      </c>
      <c r="F7" s="123"/>
      <c r="G7" s="124" t="s">
        <v>199</v>
      </c>
      <c r="H7" s="229">
        <v>1</v>
      </c>
      <c r="I7" s="232" t="e">
        <f>VLOOKUP($I$1,#REF!,14,0)</f>
        <v>#REF!</v>
      </c>
      <c r="J7" s="235"/>
      <c r="K7" s="238" t="e">
        <f>Q7</f>
        <v>#REF!</v>
      </c>
      <c r="L7" s="221"/>
      <c r="N7" s="202" t="e">
        <f>IF(I7=1,"유사함.","본건은 비교표준지 대비 ")</f>
        <v>#REF!</v>
      </c>
      <c r="O7" s="201"/>
      <c r="P7" s="191" t="e">
        <f>IF(I7=1,"",IF(I7&gt;1,"에서 우세함.","에서 열세함."))</f>
        <v>#REF!</v>
      </c>
      <c r="Q7" s="193" t="e">
        <f>IF(N7="유사함.",N7,N7&amp;O7&amp;P7)</f>
        <v>#REF!</v>
      </c>
    </row>
    <row r="8" spans="3:17" ht="28.5" customHeight="1" thickBot="1">
      <c r="C8" s="227"/>
      <c r="D8" s="123"/>
      <c r="E8" s="124" t="s">
        <v>200</v>
      </c>
      <c r="F8" s="123"/>
      <c r="G8" s="124" t="s">
        <v>201</v>
      </c>
      <c r="H8" s="230"/>
      <c r="I8" s="233"/>
      <c r="J8" s="236"/>
      <c r="K8" s="239"/>
      <c r="L8" s="222"/>
      <c r="N8" s="202"/>
      <c r="O8" s="201"/>
      <c r="P8" s="191"/>
      <c r="Q8" s="194"/>
    </row>
    <row r="9" spans="3:17" ht="28.5" customHeight="1" thickBot="1">
      <c r="C9" s="227"/>
      <c r="D9" s="213"/>
      <c r="E9" s="212" t="s">
        <v>202</v>
      </c>
      <c r="F9" s="123"/>
      <c r="G9" s="124" t="s">
        <v>203</v>
      </c>
      <c r="H9" s="230"/>
      <c r="I9" s="233"/>
      <c r="J9" s="236"/>
      <c r="K9" s="239"/>
      <c r="L9" s="222"/>
      <c r="N9" s="202" t="str">
        <f>IF(I9=1,"유사함.","본건은 비교표준지 대비 ")</f>
        <v xml:space="preserve">본건은 비교표준지 대비 </v>
      </c>
      <c r="O9" s="201"/>
      <c r="P9" s="191" t="str">
        <f>IF(I9=1,"",IF(I9&gt;1,"에서 우세함.","에서 열세함."))</f>
        <v>에서 열세함.</v>
      </c>
      <c r="Q9" s="194" t="str">
        <f>IF(N9="유사함.",N9,N9&amp;O9&amp;P9)</f>
        <v>본건은 비교표준지 대비 에서 열세함.</v>
      </c>
    </row>
    <row r="10" spans="3:17" ht="28.5" customHeight="1" thickBot="1">
      <c r="C10" s="227"/>
      <c r="D10" s="214"/>
      <c r="E10" s="212"/>
      <c r="F10" s="123"/>
      <c r="G10" s="124" t="s">
        <v>204</v>
      </c>
      <c r="H10" s="230"/>
      <c r="I10" s="233"/>
      <c r="J10" s="236"/>
      <c r="K10" s="239"/>
      <c r="L10" s="222"/>
      <c r="N10" s="202"/>
      <c r="O10" s="201"/>
      <c r="P10" s="191"/>
      <c r="Q10" s="194"/>
    </row>
    <row r="11" spans="3:17" ht="28.5" customHeight="1" thickBot="1">
      <c r="C11" s="227"/>
      <c r="D11" s="213"/>
      <c r="E11" s="224" t="s">
        <v>205</v>
      </c>
      <c r="F11" s="213"/>
      <c r="G11" s="124" t="s">
        <v>206</v>
      </c>
      <c r="H11" s="230"/>
      <c r="I11" s="233"/>
      <c r="J11" s="236"/>
      <c r="K11" s="239"/>
      <c r="L11" s="222"/>
      <c r="N11" s="202" t="str">
        <f>IF(I11=1,"유사함.","본건은 비교표준지 대비 ")</f>
        <v xml:space="preserve">본건은 비교표준지 대비 </v>
      </c>
      <c r="O11" s="201"/>
      <c r="P11" s="191" t="str">
        <f>IF(I11=1,"",IF(I11&gt;1,"에서 우세함.","에서 열세함."))</f>
        <v>에서 열세함.</v>
      </c>
      <c r="Q11" s="194" t="str">
        <f>IF(N11="유사함.",N11,N11&amp;O11&amp;P11)</f>
        <v>본건은 비교표준지 대비 에서 열세함.</v>
      </c>
    </row>
    <row r="12" spans="3:17" ht="28.5" customHeight="1" thickBot="1">
      <c r="C12" s="228"/>
      <c r="D12" s="214"/>
      <c r="E12" s="225"/>
      <c r="F12" s="214"/>
      <c r="G12" s="124" t="s">
        <v>207</v>
      </c>
      <c r="H12" s="231"/>
      <c r="I12" s="234"/>
      <c r="J12" s="237"/>
      <c r="K12" s="240"/>
      <c r="L12" s="223"/>
      <c r="N12" s="202"/>
      <c r="O12" s="201"/>
      <c r="P12" s="191"/>
      <c r="Q12" s="195"/>
    </row>
    <row r="13" spans="3:17" ht="28.5" customHeight="1" thickBot="1">
      <c r="C13" s="206" t="s">
        <v>208</v>
      </c>
      <c r="D13" s="213"/>
      <c r="E13" s="211" t="s">
        <v>209</v>
      </c>
      <c r="F13" s="123"/>
      <c r="G13" s="124" t="s">
        <v>210</v>
      </c>
      <c r="H13" s="218">
        <v>1</v>
      </c>
      <c r="I13" s="216" t="e">
        <f>VLOOKUP($I$1,#REF!,15,0)</f>
        <v>#REF!</v>
      </c>
      <c r="J13" s="203"/>
      <c r="K13" s="204" t="e">
        <f>Q13</f>
        <v>#REF!</v>
      </c>
      <c r="L13" s="205"/>
      <c r="N13" s="202" t="e">
        <f>IF(I13=1,"유사함.","본건은 비교표준지 대비 ")</f>
        <v>#REF!</v>
      </c>
      <c r="O13" s="201"/>
      <c r="P13" s="191" t="e">
        <f>IF(I13=1,"",IF(I13&gt;1,"에서 우세함.","에서 열세함."))</f>
        <v>#REF!</v>
      </c>
      <c r="Q13" s="193" t="e">
        <f>IF(N13="유사함.",N13,N13&amp;O13&amp;P13)</f>
        <v>#REF!</v>
      </c>
    </row>
    <row r="14" spans="3:17" ht="28.5" customHeight="1" thickBot="1">
      <c r="C14" s="207"/>
      <c r="D14" s="217"/>
      <c r="E14" s="212"/>
      <c r="F14" s="123"/>
      <c r="G14" s="124" t="s">
        <v>211</v>
      </c>
      <c r="H14" s="216"/>
      <c r="I14" s="216"/>
      <c r="J14" s="203"/>
      <c r="K14" s="204"/>
      <c r="L14" s="205"/>
      <c r="N14" s="202"/>
      <c r="O14" s="201"/>
      <c r="P14" s="191"/>
      <c r="Q14" s="194"/>
    </row>
    <row r="15" spans="3:17" ht="28.5" customHeight="1" thickBot="1">
      <c r="C15" s="207"/>
      <c r="D15" s="213"/>
      <c r="E15" s="219" t="s">
        <v>212</v>
      </c>
      <c r="F15" s="213"/>
      <c r="G15" s="128" t="s">
        <v>213</v>
      </c>
      <c r="H15" s="216"/>
      <c r="I15" s="216"/>
      <c r="J15" s="203"/>
      <c r="K15" s="204"/>
      <c r="L15" s="205"/>
      <c r="N15" s="202" t="str">
        <f>IF(I15=1,"유사함.","본건은 비교표준지 대비 ")</f>
        <v xml:space="preserve">본건은 비교표준지 대비 </v>
      </c>
      <c r="O15" s="201"/>
      <c r="P15" s="191" t="str">
        <f>IF(I15=1,"",IF(I15&gt;1,"에서 우세함.","에서 열세함."))</f>
        <v>에서 열세함.</v>
      </c>
      <c r="Q15" s="194" t="str">
        <f>IF(N15="유사함.",N15,N15&amp;O15&amp;P15)</f>
        <v>본건은 비교표준지 대비 에서 열세함.</v>
      </c>
    </row>
    <row r="16" spans="3:17" ht="28.5" customHeight="1" thickBot="1">
      <c r="C16" s="207"/>
      <c r="D16" s="214"/>
      <c r="E16" s="220"/>
      <c r="F16" s="214"/>
      <c r="G16" s="129" t="s">
        <v>214</v>
      </c>
      <c r="H16" s="216"/>
      <c r="I16" s="216"/>
      <c r="J16" s="203"/>
      <c r="K16" s="204"/>
      <c r="L16" s="205"/>
      <c r="N16" s="202"/>
      <c r="O16" s="201"/>
      <c r="P16" s="191"/>
      <c r="Q16" s="195"/>
    </row>
    <row r="17" spans="3:17" ht="28.5" customHeight="1" thickBot="1">
      <c r="C17" s="206" t="s">
        <v>215</v>
      </c>
      <c r="D17" s="208"/>
      <c r="E17" s="211" t="s">
        <v>216</v>
      </c>
      <c r="F17" s="208"/>
      <c r="G17" s="131" t="s">
        <v>217</v>
      </c>
      <c r="H17" s="215">
        <v>1</v>
      </c>
      <c r="I17" s="216" t="e">
        <f>VLOOKUP($I$1,#REF!,16,0)</f>
        <v>#REF!</v>
      </c>
      <c r="J17" s="203"/>
      <c r="K17" s="204" t="e">
        <f>Q17</f>
        <v>#REF!</v>
      </c>
      <c r="L17" s="205"/>
      <c r="N17" s="202" t="e">
        <f>IF(I17=1,"유사함.","본건은 비교표준지 대비 ")</f>
        <v>#REF!</v>
      </c>
      <c r="O17" s="201" t="s">
        <v>313</v>
      </c>
      <c r="P17" s="191" t="e">
        <f>IF(I17=1,"",IF(I17&gt;1,"에서 우세함.","에서 열세함."))</f>
        <v>#REF!</v>
      </c>
      <c r="Q17" s="193" t="e">
        <f>IF(N17="유사함.",N17,N17&amp;O17&amp;P17)</f>
        <v>#REF!</v>
      </c>
    </row>
    <row r="18" spans="3:17" ht="28.5" customHeight="1" thickBot="1">
      <c r="C18" s="206"/>
      <c r="D18" s="209"/>
      <c r="E18" s="211"/>
      <c r="F18" s="210"/>
      <c r="G18" s="129" t="s">
        <v>218</v>
      </c>
      <c r="H18" s="216"/>
      <c r="I18" s="216"/>
      <c r="J18" s="203"/>
      <c r="K18" s="204"/>
      <c r="L18" s="205"/>
      <c r="N18" s="202"/>
      <c r="O18" s="201"/>
      <c r="P18" s="191"/>
      <c r="Q18" s="194"/>
    </row>
    <row r="19" spans="3:17" ht="28.5" customHeight="1" thickBot="1">
      <c r="C19" s="207"/>
      <c r="D19" s="210"/>
      <c r="E19" s="212"/>
      <c r="F19" s="132"/>
      <c r="G19" s="124" t="s">
        <v>219</v>
      </c>
      <c r="H19" s="216"/>
      <c r="I19" s="216"/>
      <c r="J19" s="203"/>
      <c r="K19" s="204"/>
      <c r="L19" s="205"/>
      <c r="N19" s="202"/>
      <c r="O19" s="201"/>
      <c r="P19" s="191"/>
      <c r="Q19" s="195"/>
    </row>
    <row r="20" spans="3:17" ht="28.5" customHeight="1" thickBot="1">
      <c r="C20" s="206" t="s">
        <v>220</v>
      </c>
      <c r="D20" s="213"/>
      <c r="E20" s="212" t="s">
        <v>184</v>
      </c>
      <c r="F20" s="123"/>
      <c r="G20" s="124" t="s">
        <v>221</v>
      </c>
      <c r="H20" s="215">
        <v>1</v>
      </c>
      <c r="I20" s="216" t="e">
        <f>VLOOKUP($I$1,#REF!,17,0)</f>
        <v>#REF!</v>
      </c>
      <c r="J20" s="203"/>
      <c r="K20" s="204" t="e">
        <f>Q20</f>
        <v>#REF!</v>
      </c>
      <c r="L20" s="205"/>
      <c r="N20" s="202" t="e">
        <f>IF(I20=1,"유사함.","본건은 비교표준지 대비 ")</f>
        <v>#REF!</v>
      </c>
      <c r="O20" s="201"/>
      <c r="P20" s="191" t="e">
        <f>IF(I20=1,"",IF(I20&gt;1,"에서 우세함.","에서 열세함."))</f>
        <v>#REF!</v>
      </c>
      <c r="Q20" s="192" t="e">
        <f>IF(N20="유사함.",N20,N20&amp;O20&amp;P20)</f>
        <v>#REF!</v>
      </c>
    </row>
    <row r="21" spans="3:17" ht="28.5" customHeight="1" thickBot="1">
      <c r="C21" s="207"/>
      <c r="D21" s="214"/>
      <c r="E21" s="212"/>
      <c r="F21" s="123"/>
      <c r="G21" s="124" t="s">
        <v>184</v>
      </c>
      <c r="H21" s="216"/>
      <c r="I21" s="216"/>
      <c r="J21" s="203"/>
      <c r="K21" s="204"/>
      <c r="L21" s="205"/>
      <c r="N21" s="202"/>
      <c r="O21" s="201"/>
      <c r="P21" s="191"/>
      <c r="Q21" s="192"/>
    </row>
    <row r="22" spans="3:17" ht="40.5" customHeight="1">
      <c r="C22" s="196" t="s">
        <v>222</v>
      </c>
      <c r="D22" s="197"/>
      <c r="E22" s="197"/>
      <c r="F22" s="197"/>
      <c r="G22" s="197"/>
      <c r="H22" s="197"/>
      <c r="I22" s="133" t="e">
        <f>ROUND(I20*I17*I13*I7*I5,3)</f>
        <v>#REF!</v>
      </c>
      <c r="J22" s="198"/>
      <c r="K22" s="199"/>
      <c r="L22" s="200"/>
    </row>
    <row r="23" spans="3:17" ht="9.75" customHeight="1"/>
  </sheetData>
  <mergeCells count="74">
    <mergeCell ref="J2:L4"/>
    <mergeCell ref="E5:E6"/>
    <mergeCell ref="H5:H6"/>
    <mergeCell ref="I5:I6"/>
    <mergeCell ref="C2:C4"/>
    <mergeCell ref="D2:E4"/>
    <mergeCell ref="F2:G4"/>
    <mergeCell ref="H2:I2"/>
    <mergeCell ref="J5:J6"/>
    <mergeCell ref="K5:K6"/>
    <mergeCell ref="L5:L6"/>
    <mergeCell ref="C5:C6"/>
    <mergeCell ref="D5:D6"/>
    <mergeCell ref="C7:C12"/>
    <mergeCell ref="H7:H12"/>
    <mergeCell ref="I7:I12"/>
    <mergeCell ref="J7:J12"/>
    <mergeCell ref="K7:K12"/>
    <mergeCell ref="L7:L12"/>
    <mergeCell ref="D9:D10"/>
    <mergeCell ref="E9:E10"/>
    <mergeCell ref="D11:D12"/>
    <mergeCell ref="E11:E12"/>
    <mergeCell ref="F11:F12"/>
    <mergeCell ref="L17:L19"/>
    <mergeCell ref="C13:C16"/>
    <mergeCell ref="D13:D14"/>
    <mergeCell ref="E13:E14"/>
    <mergeCell ref="H13:H16"/>
    <mergeCell ref="I13:I16"/>
    <mergeCell ref="J13:J16"/>
    <mergeCell ref="K13:K16"/>
    <mergeCell ref="L13:L16"/>
    <mergeCell ref="D15:D16"/>
    <mergeCell ref="E15:E16"/>
    <mergeCell ref="F15:F16"/>
    <mergeCell ref="J20:J21"/>
    <mergeCell ref="K20:K21"/>
    <mergeCell ref="L20:L21"/>
    <mergeCell ref="C17:C19"/>
    <mergeCell ref="D17:D19"/>
    <mergeCell ref="E17:E19"/>
    <mergeCell ref="F17:F18"/>
    <mergeCell ref="C20:C21"/>
    <mergeCell ref="D20:D21"/>
    <mergeCell ref="E20:E21"/>
    <mergeCell ref="H20:H21"/>
    <mergeCell ref="I20:I21"/>
    <mergeCell ref="H17:H19"/>
    <mergeCell ref="I17:I19"/>
    <mergeCell ref="J17:J19"/>
    <mergeCell ref="K17:K19"/>
    <mergeCell ref="C22:H22"/>
    <mergeCell ref="J22:L22"/>
    <mergeCell ref="P5:P6"/>
    <mergeCell ref="O5:O6"/>
    <mergeCell ref="N5:N6"/>
    <mergeCell ref="P7:P12"/>
    <mergeCell ref="O7:O12"/>
    <mergeCell ref="N7:N12"/>
    <mergeCell ref="N13:N16"/>
    <mergeCell ref="N17:N19"/>
    <mergeCell ref="O17:O19"/>
    <mergeCell ref="P17:P19"/>
    <mergeCell ref="N20:N21"/>
    <mergeCell ref="O20:O21"/>
    <mergeCell ref="P20:P21"/>
    <mergeCell ref="O13:O16"/>
    <mergeCell ref="P13:P16"/>
    <mergeCell ref="Q5:Q6"/>
    <mergeCell ref="Q20:Q21"/>
    <mergeCell ref="Q7:Q12"/>
    <mergeCell ref="Q13:Q16"/>
    <mergeCell ref="Q17:Q19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fitToHeight="0" orientation="portrait" r:id="rId1"/>
  <headerFooter>
    <oddHeader>&amp;C&amp;"굴림체,굵게"&amp;22&amp;U개 별 요 인 비 교 표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 tint="0.39997558519241921"/>
  </sheetPr>
  <dimension ref="C1:Q22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4.5703125" style="113" customWidth="1"/>
    <col min="3" max="3" width="8.140625" style="113" customWidth="1"/>
    <col min="4" max="4" width="0.85546875" style="113" customWidth="1"/>
    <col min="5" max="5" width="14" style="113" customWidth="1"/>
    <col min="6" max="6" width="0.85546875" style="113" customWidth="1"/>
    <col min="7" max="7" width="23" style="113" customWidth="1"/>
    <col min="8" max="9" width="11" style="113" customWidth="1"/>
    <col min="10" max="10" width="1" style="113" customWidth="1"/>
    <col min="11" max="11" width="18.140625" style="115" customWidth="1"/>
    <col min="12" max="12" width="1" style="115" customWidth="1"/>
    <col min="13" max="13" width="4.5703125" style="113" customWidth="1"/>
    <col min="14" max="14" width="12.5703125" style="113" customWidth="1"/>
    <col min="15" max="15" width="22.7109375" style="113" customWidth="1"/>
    <col min="16" max="16" width="9.140625" style="113"/>
    <col min="17" max="17" width="16.42578125" style="113" customWidth="1"/>
    <col min="18" max="16384" width="9.140625" style="113"/>
  </cols>
  <sheetData>
    <row r="1" spans="3:17" ht="12.75" customHeight="1">
      <c r="C1" s="114"/>
      <c r="H1" s="166" t="s">
        <v>314</v>
      </c>
      <c r="I1" s="167">
        <v>1</v>
      </c>
    </row>
    <row r="2" spans="3:17" ht="18.75" customHeight="1">
      <c r="C2" s="248" t="s">
        <v>186</v>
      </c>
      <c r="D2" s="249" t="s">
        <v>187</v>
      </c>
      <c r="E2" s="250"/>
      <c r="F2" s="249" t="s">
        <v>188</v>
      </c>
      <c r="G2" s="250"/>
      <c r="H2" s="253" t="s">
        <v>189</v>
      </c>
      <c r="I2" s="253"/>
      <c r="J2" s="241" t="s">
        <v>190</v>
      </c>
      <c r="K2" s="242"/>
      <c r="L2" s="243"/>
    </row>
    <row r="3" spans="3:17" ht="18.75" customHeight="1">
      <c r="C3" s="207"/>
      <c r="D3" s="217"/>
      <c r="E3" s="251"/>
      <c r="F3" s="217"/>
      <c r="G3" s="251"/>
      <c r="H3" s="117" t="s">
        <v>191</v>
      </c>
      <c r="I3" s="117" t="s">
        <v>192</v>
      </c>
      <c r="J3" s="209"/>
      <c r="K3" s="244"/>
      <c r="L3" s="245"/>
    </row>
    <row r="4" spans="3:17" ht="18.75" customHeight="1" thickBot="1">
      <c r="C4" s="207"/>
      <c r="D4" s="214"/>
      <c r="E4" s="252"/>
      <c r="F4" s="214"/>
      <c r="G4" s="252"/>
      <c r="H4" s="134" t="e">
        <f>VLOOKUP(I4,#REF!,8,0)</f>
        <v>#REF!</v>
      </c>
      <c r="I4" s="121">
        <f>I1</f>
        <v>1</v>
      </c>
      <c r="J4" s="210"/>
      <c r="K4" s="246"/>
      <c r="L4" s="247"/>
      <c r="N4" s="139"/>
      <c r="O4" s="165" t="s">
        <v>312</v>
      </c>
      <c r="P4" s="139"/>
      <c r="Q4" s="165" t="s">
        <v>311</v>
      </c>
    </row>
    <row r="5" spans="3:17" ht="28.5" customHeight="1" thickBot="1">
      <c r="C5" s="206" t="s">
        <v>193</v>
      </c>
      <c r="D5" s="254"/>
      <c r="E5" s="212" t="s">
        <v>194</v>
      </c>
      <c r="F5" s="123"/>
      <c r="G5" s="124" t="s">
        <v>195</v>
      </c>
      <c r="H5" s="218">
        <v>1</v>
      </c>
      <c r="I5" s="216" t="e">
        <f>VLOOKUP(I4,#REF!,13,0)</f>
        <v>#REF!</v>
      </c>
      <c r="J5" s="203"/>
      <c r="K5" s="238" t="e">
        <f>Q5</f>
        <v>#REF!</v>
      </c>
      <c r="L5" s="205"/>
      <c r="N5" s="202" t="e">
        <f>IF(I5=1,"유사함.","본건은 비교표준지 대비 ")</f>
        <v>#REF!</v>
      </c>
      <c r="O5" s="201" t="s">
        <v>310</v>
      </c>
      <c r="P5" s="191" t="e">
        <f>IF(I5=1,"",IF(I5&gt;1,"에서 우세함.","에서 열세함."))</f>
        <v>#REF!</v>
      </c>
      <c r="Q5" s="192" t="e">
        <f>IF(N5="유사함.",N5,N5&amp;O5&amp;P5)</f>
        <v>#REF!</v>
      </c>
    </row>
    <row r="6" spans="3:17" ht="28.5" customHeight="1" thickBot="1">
      <c r="C6" s="207"/>
      <c r="D6" s="254"/>
      <c r="E6" s="212"/>
      <c r="F6" s="119"/>
      <c r="G6" s="125" t="s">
        <v>196</v>
      </c>
      <c r="H6" s="216"/>
      <c r="I6" s="216"/>
      <c r="J6" s="203"/>
      <c r="K6" s="240"/>
      <c r="L6" s="205"/>
      <c r="N6" s="202"/>
      <c r="O6" s="201"/>
      <c r="P6" s="191"/>
      <c r="Q6" s="192"/>
    </row>
    <row r="7" spans="3:17" ht="28.5" customHeight="1">
      <c r="C7" s="206" t="s">
        <v>197</v>
      </c>
      <c r="D7" s="123"/>
      <c r="E7" s="124" t="s">
        <v>198</v>
      </c>
      <c r="F7" s="123"/>
      <c r="G7" s="124" t="s">
        <v>199</v>
      </c>
      <c r="H7" s="215">
        <v>1</v>
      </c>
      <c r="I7" s="216" t="e">
        <f>VLOOKUP($I$1,#REF!,14,0)</f>
        <v>#REF!</v>
      </c>
      <c r="J7" s="203"/>
      <c r="K7" s="204" t="e">
        <f>Q7</f>
        <v>#REF!</v>
      </c>
      <c r="L7" s="205"/>
      <c r="N7" s="255" t="e">
        <f>IF(I7=1,"유사함.","본건은 비교표준지 대비 ")</f>
        <v>#REF!</v>
      </c>
      <c r="O7" s="261"/>
      <c r="P7" s="258" t="e">
        <f>IF(I7=1,"",IF(I7&gt;1,"에서 우세함.","에서 열세함."))</f>
        <v>#REF!</v>
      </c>
      <c r="Q7" s="193" t="e">
        <f>IF(N7="유사함.",N7,N7&amp;O7&amp;P7)</f>
        <v>#REF!</v>
      </c>
    </row>
    <row r="8" spans="3:17" ht="28.5" customHeight="1">
      <c r="C8" s="207"/>
      <c r="D8" s="123"/>
      <c r="E8" s="124" t="s">
        <v>200</v>
      </c>
      <c r="F8" s="123"/>
      <c r="G8" s="124" t="s">
        <v>201</v>
      </c>
      <c r="H8" s="216"/>
      <c r="I8" s="216"/>
      <c r="J8" s="203"/>
      <c r="K8" s="204"/>
      <c r="L8" s="205"/>
      <c r="N8" s="256"/>
      <c r="O8" s="262"/>
      <c r="P8" s="259"/>
      <c r="Q8" s="194"/>
    </row>
    <row r="9" spans="3:17" ht="28.5" customHeight="1">
      <c r="C9" s="207"/>
      <c r="D9" s="213"/>
      <c r="E9" s="212" t="s">
        <v>202</v>
      </c>
      <c r="F9" s="123"/>
      <c r="G9" s="124" t="s">
        <v>203</v>
      </c>
      <c r="H9" s="216"/>
      <c r="I9" s="216"/>
      <c r="J9" s="203"/>
      <c r="K9" s="204"/>
      <c r="L9" s="205"/>
      <c r="N9" s="256"/>
      <c r="O9" s="262"/>
      <c r="P9" s="259"/>
      <c r="Q9" s="194"/>
    </row>
    <row r="10" spans="3:17" ht="28.5" customHeight="1" thickBot="1">
      <c r="C10" s="207"/>
      <c r="D10" s="214"/>
      <c r="E10" s="212"/>
      <c r="F10" s="123"/>
      <c r="G10" s="124" t="s">
        <v>204</v>
      </c>
      <c r="H10" s="216"/>
      <c r="I10" s="216"/>
      <c r="J10" s="203"/>
      <c r="K10" s="204"/>
      <c r="L10" s="205"/>
      <c r="N10" s="257"/>
      <c r="O10" s="263"/>
      <c r="P10" s="260"/>
      <c r="Q10" s="195"/>
    </row>
    <row r="11" spans="3:17" ht="28.5" customHeight="1">
      <c r="C11" s="206" t="s">
        <v>208</v>
      </c>
      <c r="D11" s="213"/>
      <c r="E11" s="211" t="s">
        <v>209</v>
      </c>
      <c r="F11" s="123"/>
      <c r="G11" s="124" t="s">
        <v>210</v>
      </c>
      <c r="H11" s="218">
        <v>1</v>
      </c>
      <c r="I11" s="216" t="e">
        <f>VLOOKUP($I$1,#REF!,15,0)</f>
        <v>#REF!</v>
      </c>
      <c r="J11" s="203"/>
      <c r="K11" s="204" t="e">
        <f>Q11</f>
        <v>#REF!</v>
      </c>
      <c r="L11" s="205"/>
      <c r="N11" s="255" t="e">
        <f>IF(I11=1,"유사함.","본건은 비교표준지 대비 ")</f>
        <v>#REF!</v>
      </c>
      <c r="O11" s="261"/>
      <c r="P11" s="258" t="e">
        <f>IF(I11=1,"",IF(I11&gt;1,"에서 우세함.","에서 열세함."))</f>
        <v>#REF!</v>
      </c>
      <c r="Q11" s="193" t="e">
        <f>IF(N11="유사함.",N11,N11&amp;O11&amp;P11)</f>
        <v>#REF!</v>
      </c>
    </row>
    <row r="12" spans="3:17" ht="28.5" customHeight="1">
      <c r="C12" s="207"/>
      <c r="D12" s="217"/>
      <c r="E12" s="212"/>
      <c r="F12" s="123"/>
      <c r="G12" s="124" t="s">
        <v>223</v>
      </c>
      <c r="H12" s="216"/>
      <c r="I12" s="216"/>
      <c r="J12" s="203"/>
      <c r="K12" s="204"/>
      <c r="L12" s="205"/>
      <c r="N12" s="256"/>
      <c r="O12" s="262"/>
      <c r="P12" s="259"/>
      <c r="Q12" s="194"/>
    </row>
    <row r="13" spans="3:17" ht="28.5" customHeight="1">
      <c r="C13" s="207"/>
      <c r="D13" s="214"/>
      <c r="E13" s="212"/>
      <c r="F13" s="123"/>
      <c r="G13" s="124" t="s">
        <v>224</v>
      </c>
      <c r="H13" s="216"/>
      <c r="I13" s="216"/>
      <c r="J13" s="203"/>
      <c r="K13" s="204"/>
      <c r="L13" s="205"/>
      <c r="N13" s="256"/>
      <c r="O13" s="262"/>
      <c r="P13" s="259"/>
      <c r="Q13" s="194"/>
    </row>
    <row r="14" spans="3:17" ht="28.5" customHeight="1">
      <c r="C14" s="207"/>
      <c r="D14" s="213"/>
      <c r="E14" s="219" t="s">
        <v>212</v>
      </c>
      <c r="F14" s="213"/>
      <c r="G14" s="128" t="s">
        <v>213</v>
      </c>
      <c r="H14" s="216"/>
      <c r="I14" s="216"/>
      <c r="J14" s="203"/>
      <c r="K14" s="204"/>
      <c r="L14" s="205"/>
      <c r="N14" s="256"/>
      <c r="O14" s="262"/>
      <c r="P14" s="259"/>
      <c r="Q14" s="194"/>
    </row>
    <row r="15" spans="3:17" ht="28.5" customHeight="1" thickBot="1">
      <c r="C15" s="207"/>
      <c r="D15" s="214"/>
      <c r="E15" s="220"/>
      <c r="F15" s="214"/>
      <c r="G15" s="129" t="s">
        <v>214</v>
      </c>
      <c r="H15" s="216"/>
      <c r="I15" s="216"/>
      <c r="J15" s="203"/>
      <c r="K15" s="204"/>
      <c r="L15" s="205"/>
      <c r="N15" s="257"/>
      <c r="O15" s="263"/>
      <c r="P15" s="260"/>
      <c r="Q15" s="195"/>
    </row>
    <row r="16" spans="3:17" ht="28.5" customHeight="1">
      <c r="C16" s="206" t="s">
        <v>215</v>
      </c>
      <c r="D16" s="208"/>
      <c r="E16" s="211" t="s">
        <v>216</v>
      </c>
      <c r="F16" s="208"/>
      <c r="G16" s="131" t="s">
        <v>217</v>
      </c>
      <c r="H16" s="215">
        <v>1</v>
      </c>
      <c r="I16" s="216" t="e">
        <f>VLOOKUP($I$1,#REF!,16,0)</f>
        <v>#REF!</v>
      </c>
      <c r="J16" s="203"/>
      <c r="K16" s="204" t="e">
        <f>Q16</f>
        <v>#REF!</v>
      </c>
      <c r="L16" s="205"/>
      <c r="N16" s="255" t="e">
        <f>IF(I16=1,"유사함.","본건은 비교표준지 대비 ")</f>
        <v>#REF!</v>
      </c>
      <c r="O16" s="261"/>
      <c r="P16" s="258" t="e">
        <f>IF(I16=1,"",IF(I16&gt;1,"에서 우세함.","에서 열세함."))</f>
        <v>#REF!</v>
      </c>
      <c r="Q16" s="193" t="e">
        <f>IF(N16="유사함.",N16,N16&amp;O16&amp;P16)</f>
        <v>#REF!</v>
      </c>
    </row>
    <row r="17" spans="3:17" ht="28.5" customHeight="1">
      <c r="C17" s="206"/>
      <c r="D17" s="209"/>
      <c r="E17" s="211"/>
      <c r="F17" s="210"/>
      <c r="G17" s="129" t="s">
        <v>218</v>
      </c>
      <c r="H17" s="216"/>
      <c r="I17" s="216"/>
      <c r="J17" s="203"/>
      <c r="K17" s="204"/>
      <c r="L17" s="205"/>
      <c r="N17" s="256"/>
      <c r="O17" s="262"/>
      <c r="P17" s="259"/>
      <c r="Q17" s="194"/>
    </row>
    <row r="18" spans="3:17" ht="28.5" customHeight="1" thickBot="1">
      <c r="C18" s="207"/>
      <c r="D18" s="210"/>
      <c r="E18" s="212"/>
      <c r="F18" s="132"/>
      <c r="G18" s="124" t="s">
        <v>219</v>
      </c>
      <c r="H18" s="216"/>
      <c r="I18" s="216"/>
      <c r="J18" s="203"/>
      <c r="K18" s="204"/>
      <c r="L18" s="205"/>
      <c r="N18" s="257"/>
      <c r="O18" s="263"/>
      <c r="P18" s="260"/>
      <c r="Q18" s="195"/>
    </row>
    <row r="19" spans="3:17" ht="28.5" customHeight="1">
      <c r="C19" s="206" t="s">
        <v>220</v>
      </c>
      <c r="D19" s="213"/>
      <c r="E19" s="212" t="s">
        <v>184</v>
      </c>
      <c r="F19" s="123"/>
      <c r="G19" s="124" t="s">
        <v>221</v>
      </c>
      <c r="H19" s="215">
        <v>1</v>
      </c>
      <c r="I19" s="216" t="e">
        <f>VLOOKUP($I$1,#REF!,17,0)</f>
        <v>#REF!</v>
      </c>
      <c r="J19" s="203"/>
      <c r="K19" s="204" t="e">
        <f>Q19</f>
        <v>#REF!</v>
      </c>
      <c r="L19" s="205"/>
      <c r="N19" s="202" t="e">
        <f>IF(I19=1,"유사함.","본건은 비교표준지 대비 ")</f>
        <v>#REF!</v>
      </c>
      <c r="O19" s="261"/>
      <c r="P19" s="191" t="e">
        <f>IF(I19=1,"",IF(I19&gt;1,"에서 우세함.","에서 열세함."))</f>
        <v>#REF!</v>
      </c>
      <c r="Q19" s="192" t="e">
        <f>IF(N19="유사함.",N19,N19&amp;O19&amp;P19)</f>
        <v>#REF!</v>
      </c>
    </row>
    <row r="20" spans="3:17" ht="28.5" customHeight="1" thickBot="1">
      <c r="C20" s="207"/>
      <c r="D20" s="214"/>
      <c r="E20" s="212"/>
      <c r="F20" s="123"/>
      <c r="G20" s="124" t="s">
        <v>184</v>
      </c>
      <c r="H20" s="216"/>
      <c r="I20" s="216"/>
      <c r="J20" s="203"/>
      <c r="K20" s="204"/>
      <c r="L20" s="205"/>
      <c r="N20" s="202"/>
      <c r="O20" s="263"/>
      <c r="P20" s="191"/>
      <c r="Q20" s="192"/>
    </row>
    <row r="21" spans="3:17" ht="40.5" customHeight="1">
      <c r="C21" s="196" t="s">
        <v>222</v>
      </c>
      <c r="D21" s="197"/>
      <c r="E21" s="197"/>
      <c r="F21" s="197"/>
      <c r="G21" s="197"/>
      <c r="H21" s="197"/>
      <c r="I21" s="133" t="e">
        <f>ROUND(I19*I16*I11*I7*I5,3)</f>
        <v>#REF!</v>
      </c>
      <c r="J21" s="198"/>
      <c r="K21" s="199"/>
      <c r="L21" s="200"/>
    </row>
    <row r="22" spans="3:17" ht="9.75" customHeight="1"/>
  </sheetData>
  <mergeCells count="71">
    <mergeCell ref="C2:C4"/>
    <mergeCell ref="D2:E4"/>
    <mergeCell ref="F2:G4"/>
    <mergeCell ref="H2:I2"/>
    <mergeCell ref="J2:L4"/>
    <mergeCell ref="J5:J6"/>
    <mergeCell ref="K5:K6"/>
    <mergeCell ref="L5:L6"/>
    <mergeCell ref="C7:C10"/>
    <mergeCell ref="H7:H10"/>
    <mergeCell ref="I7:I10"/>
    <mergeCell ref="J7:J10"/>
    <mergeCell ref="K7:K10"/>
    <mergeCell ref="L7:L10"/>
    <mergeCell ref="D9:D10"/>
    <mergeCell ref="C5:C6"/>
    <mergeCell ref="D5:D6"/>
    <mergeCell ref="E5:E6"/>
    <mergeCell ref="H5:H6"/>
    <mergeCell ref="I5:I6"/>
    <mergeCell ref="L11:L15"/>
    <mergeCell ref="D14:D15"/>
    <mergeCell ref="E14:E15"/>
    <mergeCell ref="F14:F15"/>
    <mergeCell ref="E9:E10"/>
    <mergeCell ref="K11:K15"/>
    <mergeCell ref="J11:J15"/>
    <mergeCell ref="C11:C15"/>
    <mergeCell ref="D11:D13"/>
    <mergeCell ref="E11:E13"/>
    <mergeCell ref="H11:H15"/>
    <mergeCell ref="I11:I15"/>
    <mergeCell ref="L16:L18"/>
    <mergeCell ref="C19:C20"/>
    <mergeCell ref="D19:D20"/>
    <mergeCell ref="E19:E20"/>
    <mergeCell ref="H19:H20"/>
    <mergeCell ref="I19:I20"/>
    <mergeCell ref="J19:J20"/>
    <mergeCell ref="K19:K20"/>
    <mergeCell ref="C16:C18"/>
    <mergeCell ref="D16:D18"/>
    <mergeCell ref="E16:E18"/>
    <mergeCell ref="F16:F17"/>
    <mergeCell ref="H16:H18"/>
    <mergeCell ref="I16:I18"/>
    <mergeCell ref="N19:N20"/>
    <mergeCell ref="Q5:Q6"/>
    <mergeCell ref="L19:L20"/>
    <mergeCell ref="C21:H21"/>
    <mergeCell ref="J21:L21"/>
    <mergeCell ref="N5:N6"/>
    <mergeCell ref="O5:O6"/>
    <mergeCell ref="P5:P6"/>
    <mergeCell ref="J16:J18"/>
    <mergeCell ref="K16:K18"/>
    <mergeCell ref="P19:P20"/>
    <mergeCell ref="Q19:Q20"/>
    <mergeCell ref="O19:O20"/>
    <mergeCell ref="O16:O18"/>
    <mergeCell ref="Q7:Q10"/>
    <mergeCell ref="O7:O10"/>
    <mergeCell ref="N7:N10"/>
    <mergeCell ref="P7:P10"/>
    <mergeCell ref="P16:P18"/>
    <mergeCell ref="Q16:Q18"/>
    <mergeCell ref="N16:N18"/>
    <mergeCell ref="N11:N15"/>
    <mergeCell ref="O11:O15"/>
    <mergeCell ref="P11:P15"/>
    <mergeCell ref="Q11:Q15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orientation="portrait" r:id="rId1"/>
  <headerFooter>
    <oddHeader>&amp;C&amp;"굴림체,굵게"&amp;22&amp;U개 별 요 인 비 교 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0.39997558519241921"/>
  </sheetPr>
  <dimension ref="C1:Q25"/>
  <sheetViews>
    <sheetView view="pageBreakPreview" zoomScale="85" zoomScaleNormal="85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52" customWidth="1"/>
    <col min="8" max="8" width="11.5703125" style="153" customWidth="1"/>
    <col min="9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1.7109375" style="113" customWidth="1"/>
    <col min="15" max="15" width="20.85546875" style="113" customWidth="1"/>
    <col min="16" max="16" width="9.140625" style="113"/>
    <col min="17" max="17" width="17.42578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314</v>
      </c>
      <c r="I1" s="167">
        <v>1</v>
      </c>
      <c r="J1" s="137"/>
      <c r="K1" s="137"/>
      <c r="L1" s="137"/>
    </row>
    <row r="2" spans="3:17" ht="17.25" customHeight="1">
      <c r="C2" s="248" t="s">
        <v>186</v>
      </c>
      <c r="D2" s="249" t="s">
        <v>187</v>
      </c>
      <c r="E2" s="250"/>
      <c r="F2" s="249" t="s">
        <v>188</v>
      </c>
      <c r="G2" s="250"/>
      <c r="H2" s="253" t="s">
        <v>189</v>
      </c>
      <c r="I2" s="253"/>
      <c r="J2" s="249" t="s">
        <v>190</v>
      </c>
      <c r="K2" s="287"/>
      <c r="L2" s="288"/>
    </row>
    <row r="3" spans="3:17" ht="17.25" customHeight="1">
      <c r="C3" s="207"/>
      <c r="D3" s="217"/>
      <c r="E3" s="251"/>
      <c r="F3" s="217"/>
      <c r="G3" s="251"/>
      <c r="H3" s="138" t="s">
        <v>191</v>
      </c>
      <c r="I3" s="117" t="s">
        <v>192</v>
      </c>
      <c r="J3" s="217"/>
      <c r="K3" s="289"/>
      <c r="L3" s="267"/>
    </row>
    <row r="4" spans="3:17" ht="17.25" customHeight="1" thickBot="1">
      <c r="C4" s="207"/>
      <c r="D4" s="214"/>
      <c r="E4" s="252"/>
      <c r="F4" s="214"/>
      <c r="G4" s="252"/>
      <c r="H4" s="141" t="e">
        <f>VLOOKUP($I$1,#REF!,8,0)</f>
        <v>#REF!</v>
      </c>
      <c r="I4" s="121">
        <f>I1</f>
        <v>1</v>
      </c>
      <c r="J4" s="214"/>
      <c r="K4" s="290"/>
      <c r="L4" s="291"/>
      <c r="N4" s="139"/>
      <c r="O4" s="165" t="s">
        <v>312</v>
      </c>
      <c r="P4" s="139"/>
      <c r="Q4" s="165" t="s">
        <v>311</v>
      </c>
    </row>
    <row r="5" spans="3:17" ht="26.25" customHeight="1" thickBot="1">
      <c r="C5" s="226" t="s">
        <v>193</v>
      </c>
      <c r="D5" s="213"/>
      <c r="E5" s="274" t="s">
        <v>225</v>
      </c>
      <c r="F5" s="123"/>
      <c r="G5" s="143" t="s">
        <v>226</v>
      </c>
      <c r="H5" s="229">
        <v>1</v>
      </c>
      <c r="I5" s="277" t="e">
        <f>VLOOKUP($I$1,#REF!,13,0)</f>
        <v>#REF!</v>
      </c>
      <c r="J5" s="213"/>
      <c r="K5" s="238" t="e">
        <f>Q5</f>
        <v>#REF!</v>
      </c>
      <c r="L5" s="266"/>
      <c r="N5" s="202" t="e">
        <f>IF(I5=1,"유사함.","본건은 비교표준지 대비 ")</f>
        <v>#REF!</v>
      </c>
      <c r="O5" s="265" t="s">
        <v>310</v>
      </c>
      <c r="P5" s="191" t="e">
        <f>IF(I5=1,"",IF(I5&gt;1,"에서 우세함.","에서 열세함."))</f>
        <v>#REF!</v>
      </c>
      <c r="Q5" s="192" t="e">
        <f>IF(N5="유사함.",N5,N5&amp;O5&amp;P5)</f>
        <v>#REF!</v>
      </c>
    </row>
    <row r="6" spans="3:17" ht="26.25" customHeight="1" thickBot="1">
      <c r="C6" s="227"/>
      <c r="D6" s="217"/>
      <c r="E6" s="275"/>
      <c r="F6" s="119"/>
      <c r="G6" s="145" t="s">
        <v>227</v>
      </c>
      <c r="H6" s="233"/>
      <c r="I6" s="278"/>
      <c r="J6" s="217"/>
      <c r="K6" s="239"/>
      <c r="L6" s="267"/>
      <c r="N6" s="202"/>
      <c r="O6" s="265"/>
      <c r="P6" s="191"/>
      <c r="Q6" s="192"/>
    </row>
    <row r="7" spans="3:17" ht="26.25" customHeight="1" thickBot="1">
      <c r="C7" s="227"/>
      <c r="D7" s="116"/>
      <c r="E7" s="275"/>
      <c r="F7" s="123"/>
      <c r="G7" s="143" t="s">
        <v>228</v>
      </c>
      <c r="H7" s="233"/>
      <c r="I7" s="278"/>
      <c r="J7" s="116"/>
      <c r="K7" s="239"/>
      <c r="L7" s="140"/>
      <c r="N7" s="202"/>
      <c r="O7" s="265"/>
      <c r="P7" s="191"/>
      <c r="Q7" s="192"/>
    </row>
    <row r="8" spans="3:17" ht="26.25" customHeight="1" thickBot="1">
      <c r="C8" s="227"/>
      <c r="D8" s="116"/>
      <c r="E8" s="275"/>
      <c r="F8" s="123"/>
      <c r="G8" s="143" t="s">
        <v>229</v>
      </c>
      <c r="H8" s="233"/>
      <c r="I8" s="278"/>
      <c r="J8" s="116"/>
      <c r="K8" s="239"/>
      <c r="L8" s="140"/>
      <c r="N8" s="202"/>
      <c r="O8" s="265"/>
      <c r="P8" s="191"/>
      <c r="Q8" s="192"/>
    </row>
    <row r="9" spans="3:17" ht="26.25" customHeight="1" thickBot="1">
      <c r="C9" s="227"/>
      <c r="D9" s="116"/>
      <c r="E9" s="275"/>
      <c r="F9" s="116"/>
      <c r="G9" s="146" t="s">
        <v>230</v>
      </c>
      <c r="H9" s="233"/>
      <c r="I9" s="278"/>
      <c r="J9" s="116"/>
      <c r="K9" s="239"/>
      <c r="L9" s="140"/>
      <c r="N9" s="202"/>
      <c r="O9" s="265"/>
      <c r="P9" s="191"/>
      <c r="Q9" s="192"/>
    </row>
    <row r="10" spans="3:17" ht="26.25" customHeight="1" thickBot="1">
      <c r="C10" s="228"/>
      <c r="D10" s="116"/>
      <c r="E10" s="276"/>
      <c r="F10" s="116"/>
      <c r="G10" s="147" t="s">
        <v>231</v>
      </c>
      <c r="H10" s="234"/>
      <c r="I10" s="279"/>
      <c r="J10" s="119"/>
      <c r="K10" s="240"/>
      <c r="L10" s="142"/>
      <c r="N10" s="202"/>
      <c r="O10" s="265"/>
      <c r="P10" s="191"/>
      <c r="Q10" s="192"/>
    </row>
    <row r="11" spans="3:17" ht="26.25" customHeight="1" thickBot="1">
      <c r="C11" s="226" t="s">
        <v>197</v>
      </c>
      <c r="D11" s="132"/>
      <c r="E11" s="143" t="s">
        <v>198</v>
      </c>
      <c r="F11" s="132"/>
      <c r="G11" s="143" t="s">
        <v>199</v>
      </c>
      <c r="H11" s="229">
        <v>1</v>
      </c>
      <c r="I11" s="283" t="e">
        <f>VLOOKUP($I$1,#REF!,14,0)</f>
        <v>#REF!</v>
      </c>
      <c r="J11" s="126"/>
      <c r="K11" s="238" t="e">
        <f>Q11</f>
        <v>#REF!</v>
      </c>
      <c r="L11" s="144"/>
      <c r="N11" s="202" t="e">
        <f>IF(I11=1,"유사함.","본건은 비교표준지 대비 ")</f>
        <v>#REF!</v>
      </c>
      <c r="O11" s="265"/>
      <c r="P11" s="191" t="e">
        <f>IF(I11=1,"",IF(I11&gt;1,"에서 우세함.","에서 열세함."))</f>
        <v>#REF!</v>
      </c>
      <c r="Q11" s="192" t="e">
        <f>IF(N11="유사함.",N11,N11&amp;O11&amp;P11)</f>
        <v>#REF!</v>
      </c>
    </row>
    <row r="12" spans="3:17" ht="26.25" customHeight="1" thickBot="1">
      <c r="C12" s="227"/>
      <c r="D12" s="130"/>
      <c r="E12" s="224" t="s">
        <v>232</v>
      </c>
      <c r="F12" s="132"/>
      <c r="G12" s="143" t="s">
        <v>233</v>
      </c>
      <c r="H12" s="233"/>
      <c r="I12" s="284"/>
      <c r="J12" s="116"/>
      <c r="K12" s="239"/>
      <c r="L12" s="140"/>
      <c r="N12" s="202"/>
      <c r="O12" s="265"/>
      <c r="P12" s="191"/>
      <c r="Q12" s="192"/>
    </row>
    <row r="13" spans="3:17" ht="26.25" customHeight="1" thickBot="1">
      <c r="C13" s="227"/>
      <c r="D13" s="118"/>
      <c r="E13" s="286"/>
      <c r="F13" s="132"/>
      <c r="G13" s="143" t="s">
        <v>234</v>
      </c>
      <c r="H13" s="233"/>
      <c r="I13" s="284"/>
      <c r="J13" s="116"/>
      <c r="K13" s="239"/>
      <c r="L13" s="140"/>
      <c r="N13" s="202"/>
      <c r="O13" s="265"/>
      <c r="P13" s="191"/>
      <c r="Q13" s="192"/>
    </row>
    <row r="14" spans="3:17" ht="26.25" customHeight="1" thickBot="1">
      <c r="C14" s="227"/>
      <c r="D14" s="118"/>
      <c r="E14" s="286"/>
      <c r="F14" s="132"/>
      <c r="G14" s="143" t="s">
        <v>211</v>
      </c>
      <c r="H14" s="233"/>
      <c r="I14" s="284"/>
      <c r="J14" s="116"/>
      <c r="K14" s="239"/>
      <c r="L14" s="140"/>
      <c r="N14" s="202"/>
      <c r="O14" s="265"/>
      <c r="P14" s="191"/>
      <c r="Q14" s="192"/>
    </row>
    <row r="15" spans="3:17" ht="26.25" customHeight="1" thickBot="1">
      <c r="C15" s="227"/>
      <c r="D15" s="118"/>
      <c r="E15" s="286"/>
      <c r="F15" s="132"/>
      <c r="G15" s="143" t="s">
        <v>235</v>
      </c>
      <c r="H15" s="233"/>
      <c r="I15" s="284"/>
      <c r="J15" s="116"/>
      <c r="K15" s="239"/>
      <c r="L15" s="140"/>
      <c r="N15" s="202"/>
      <c r="O15" s="265"/>
      <c r="P15" s="191"/>
      <c r="Q15" s="192"/>
    </row>
    <row r="16" spans="3:17" ht="26.25" customHeight="1" thickBot="1">
      <c r="C16" s="227"/>
      <c r="D16" s="122"/>
      <c r="E16" s="225"/>
      <c r="F16" s="132"/>
      <c r="G16" s="143" t="s">
        <v>236</v>
      </c>
      <c r="H16" s="233"/>
      <c r="I16" s="284"/>
      <c r="J16" s="116"/>
      <c r="K16" s="239"/>
      <c r="L16" s="140"/>
      <c r="N16" s="202"/>
      <c r="O16" s="265"/>
      <c r="P16" s="191"/>
      <c r="Q16" s="192"/>
    </row>
    <row r="17" spans="3:17" ht="26.25" customHeight="1" thickBot="1">
      <c r="C17" s="228"/>
      <c r="D17" s="132"/>
      <c r="E17" s="143" t="s">
        <v>200</v>
      </c>
      <c r="F17" s="132"/>
      <c r="G17" s="143" t="s">
        <v>201</v>
      </c>
      <c r="H17" s="234"/>
      <c r="I17" s="285"/>
      <c r="J17" s="119"/>
      <c r="K17" s="240"/>
      <c r="L17" s="142"/>
      <c r="N17" s="202"/>
      <c r="O17" s="265"/>
      <c r="P17" s="191"/>
      <c r="Q17" s="192"/>
    </row>
    <row r="18" spans="3:17" ht="26.25" customHeight="1" thickBot="1">
      <c r="C18" s="226" t="s">
        <v>215</v>
      </c>
      <c r="D18" s="280"/>
      <c r="E18" s="281" t="s">
        <v>216</v>
      </c>
      <c r="F18" s="132"/>
      <c r="G18" s="143" t="s">
        <v>218</v>
      </c>
      <c r="H18" s="229">
        <v>1</v>
      </c>
      <c r="I18" s="277" t="e">
        <f>VLOOKUP($I$1,#REF!,16,0)</f>
        <v>#REF!</v>
      </c>
      <c r="J18" s="254"/>
      <c r="K18" s="204" t="e">
        <f>Q18</f>
        <v>#REF!</v>
      </c>
      <c r="L18" s="264"/>
      <c r="N18" s="202" t="e">
        <f>IF(I18=1,"유사함.","본건은 비교표준지 대비 ")</f>
        <v>#REF!</v>
      </c>
      <c r="O18" s="265"/>
      <c r="P18" s="191" t="e">
        <f>IF(I18=1,"",IF(I18&gt;1,"에서 우세함.","에서 열세함."))</f>
        <v>#REF!</v>
      </c>
      <c r="Q18" s="192" t="e">
        <f>IF(N18="유사함.",N18,N18&amp;O18&amp;P18)</f>
        <v>#REF!</v>
      </c>
    </row>
    <row r="19" spans="3:17" ht="26.25" customHeight="1" thickBot="1">
      <c r="C19" s="227"/>
      <c r="D19" s="280"/>
      <c r="E19" s="282"/>
      <c r="F19" s="130"/>
      <c r="G19" s="149" t="s">
        <v>237</v>
      </c>
      <c r="H19" s="233"/>
      <c r="I19" s="278"/>
      <c r="J19" s="254"/>
      <c r="K19" s="204"/>
      <c r="L19" s="264"/>
      <c r="N19" s="202"/>
      <c r="O19" s="265"/>
      <c r="P19" s="191"/>
      <c r="Q19" s="192"/>
    </row>
    <row r="20" spans="3:17" ht="26.25" customHeight="1" thickBot="1">
      <c r="C20" s="227"/>
      <c r="D20" s="280"/>
      <c r="E20" s="282"/>
      <c r="F20" s="122"/>
      <c r="G20" s="150" t="s">
        <v>238</v>
      </c>
      <c r="H20" s="233"/>
      <c r="I20" s="278"/>
      <c r="J20" s="254"/>
      <c r="K20" s="204"/>
      <c r="L20" s="264"/>
      <c r="N20" s="202"/>
      <c r="O20" s="265"/>
      <c r="P20" s="191"/>
      <c r="Q20" s="192"/>
    </row>
    <row r="21" spans="3:17" ht="26.25" customHeight="1" thickBot="1">
      <c r="C21" s="227"/>
      <c r="D21" s="280"/>
      <c r="E21" s="282"/>
      <c r="F21" s="132"/>
      <c r="G21" s="143" t="s">
        <v>239</v>
      </c>
      <c r="H21" s="233"/>
      <c r="I21" s="278"/>
      <c r="J21" s="254"/>
      <c r="K21" s="204"/>
      <c r="L21" s="264"/>
      <c r="N21" s="202"/>
      <c r="O21" s="265"/>
      <c r="P21" s="191"/>
      <c r="Q21" s="192"/>
    </row>
    <row r="22" spans="3:17" ht="26.25" customHeight="1" thickBot="1">
      <c r="C22" s="206" t="s">
        <v>220</v>
      </c>
      <c r="D22" s="213"/>
      <c r="E22" s="212" t="s">
        <v>184</v>
      </c>
      <c r="F22" s="123"/>
      <c r="G22" s="143" t="s">
        <v>221</v>
      </c>
      <c r="H22" s="215">
        <v>1</v>
      </c>
      <c r="I22" s="273" t="e">
        <f>VLOOKUP($I$1,#REF!,17,0)</f>
        <v>#REF!</v>
      </c>
      <c r="J22" s="254"/>
      <c r="K22" s="204" t="e">
        <f>Q22</f>
        <v>#REF!</v>
      </c>
      <c r="L22" s="264"/>
      <c r="N22" s="202" t="e">
        <f>IF(I22=1,"유사함.","본건은 비교표준지 대비 ")</f>
        <v>#REF!</v>
      </c>
      <c r="O22" s="265"/>
      <c r="P22" s="191" t="e">
        <f>IF(I22=1,"",IF(I22&gt;1,"에서 우세함.","에서 열세함."))</f>
        <v>#REF!</v>
      </c>
      <c r="Q22" s="192" t="e">
        <f>IF(N22="유사함.",N22,N22&amp;O22&amp;P22)</f>
        <v>#REF!</v>
      </c>
    </row>
    <row r="23" spans="3:17" ht="26.25" customHeight="1" thickBot="1">
      <c r="C23" s="207"/>
      <c r="D23" s="214"/>
      <c r="E23" s="212"/>
      <c r="F23" s="123"/>
      <c r="G23" s="143" t="s">
        <v>184</v>
      </c>
      <c r="H23" s="216"/>
      <c r="I23" s="273"/>
      <c r="J23" s="254"/>
      <c r="K23" s="204"/>
      <c r="L23" s="264"/>
      <c r="N23" s="202"/>
      <c r="O23" s="265"/>
      <c r="P23" s="191"/>
      <c r="Q23" s="192"/>
    </row>
    <row r="24" spans="3:17" ht="39" customHeight="1">
      <c r="C24" s="268" t="s">
        <v>240</v>
      </c>
      <c r="D24" s="269"/>
      <c r="E24" s="270"/>
      <c r="F24" s="270"/>
      <c r="G24" s="270"/>
      <c r="H24" s="151"/>
      <c r="I24" s="133" t="e">
        <f>I5*I11*I18*I22</f>
        <v>#REF!</v>
      </c>
      <c r="J24" s="271"/>
      <c r="K24" s="197"/>
      <c r="L24" s="272"/>
    </row>
    <row r="25" spans="3:17" ht="30.75" customHeight="1"/>
  </sheetData>
  <mergeCells count="52">
    <mergeCell ref="J2:L4"/>
    <mergeCell ref="C11:C17"/>
    <mergeCell ref="H11:H17"/>
    <mergeCell ref="I11:I17"/>
    <mergeCell ref="E12:E16"/>
    <mergeCell ref="C2:C4"/>
    <mergeCell ref="D2:E4"/>
    <mergeCell ref="F2:G4"/>
    <mergeCell ref="H2:I2"/>
    <mergeCell ref="C18:C21"/>
    <mergeCell ref="D18:D21"/>
    <mergeCell ref="E18:E21"/>
    <mergeCell ref="H18:H21"/>
    <mergeCell ref="I18:I21"/>
    <mergeCell ref="C24:G24"/>
    <mergeCell ref="J24:L24"/>
    <mergeCell ref="N5:N10"/>
    <mergeCell ref="E22:E23"/>
    <mergeCell ref="H22:H23"/>
    <mergeCell ref="I22:I23"/>
    <mergeCell ref="J22:J23"/>
    <mergeCell ref="C22:C23"/>
    <mergeCell ref="D22:D23"/>
    <mergeCell ref="J5:J6"/>
    <mergeCell ref="J18:J21"/>
    <mergeCell ref="C5:C10"/>
    <mergeCell ref="D5:D6"/>
    <mergeCell ref="E5:E10"/>
    <mergeCell ref="H5:H10"/>
    <mergeCell ref="I5:I10"/>
    <mergeCell ref="P5:P10"/>
    <mergeCell ref="P22:P23"/>
    <mergeCell ref="K22:K23"/>
    <mergeCell ref="L22:L23"/>
    <mergeCell ref="P18:P21"/>
    <mergeCell ref="K11:K17"/>
    <mergeCell ref="Q5:Q10"/>
    <mergeCell ref="K18:K21"/>
    <mergeCell ref="L18:L21"/>
    <mergeCell ref="N22:N23"/>
    <mergeCell ref="O22:O23"/>
    <mergeCell ref="N11:N17"/>
    <mergeCell ref="O11:O17"/>
    <mergeCell ref="P11:P17"/>
    <mergeCell ref="Q11:Q17"/>
    <mergeCell ref="N18:N21"/>
    <mergeCell ref="O18:O21"/>
    <mergeCell ref="Q18:Q21"/>
    <mergeCell ref="Q22:Q23"/>
    <mergeCell ref="K5:K10"/>
    <mergeCell ref="L5:L6"/>
    <mergeCell ref="O5:O10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61"/>
  <pageSetup paperSize="9" orientation="portrait" r:id="rId1"/>
  <headerFooter alignWithMargins="0">
    <oddHeader>&amp;C&amp;"굴림체,굵게"&amp;22&amp;U개 별 요 인 비 교 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39997558519241921"/>
  </sheetPr>
  <dimension ref="C1:Q37"/>
  <sheetViews>
    <sheetView view="pageBreakPreview" zoomScale="85" zoomScaleNormal="100" zoomScaleSheetLayoutView="85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13" customWidth="1"/>
    <col min="8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1.85546875" style="113" customWidth="1"/>
    <col min="15" max="15" width="17" style="113" customWidth="1"/>
    <col min="16" max="16" width="11.85546875" style="113" customWidth="1"/>
    <col min="17" max="17" width="14.5703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314</v>
      </c>
      <c r="I1" s="167">
        <v>1</v>
      </c>
      <c r="J1" s="137"/>
      <c r="K1" s="137"/>
      <c r="L1" s="137"/>
    </row>
    <row r="2" spans="3:17" ht="15" customHeight="1">
      <c r="C2" s="248" t="s">
        <v>186</v>
      </c>
      <c r="D2" s="249" t="s">
        <v>187</v>
      </c>
      <c r="E2" s="250"/>
      <c r="F2" s="249" t="s">
        <v>188</v>
      </c>
      <c r="G2" s="250"/>
      <c r="H2" s="253" t="s">
        <v>189</v>
      </c>
      <c r="I2" s="253"/>
      <c r="J2" s="249" t="s">
        <v>190</v>
      </c>
      <c r="K2" s="287"/>
      <c r="L2" s="288"/>
    </row>
    <row r="3" spans="3:17" ht="15" customHeight="1">
      <c r="C3" s="207"/>
      <c r="D3" s="217"/>
      <c r="E3" s="251"/>
      <c r="F3" s="217"/>
      <c r="G3" s="251"/>
      <c r="H3" s="117" t="s">
        <v>191</v>
      </c>
      <c r="I3" s="154" t="s">
        <v>192</v>
      </c>
      <c r="J3" s="217"/>
      <c r="K3" s="289"/>
      <c r="L3" s="267"/>
    </row>
    <row r="4" spans="3:17" ht="15" customHeight="1" thickBot="1">
      <c r="C4" s="207"/>
      <c r="D4" s="214"/>
      <c r="E4" s="252"/>
      <c r="F4" s="214"/>
      <c r="G4" s="252"/>
      <c r="H4" s="155" t="e">
        <f>VLOOKUP($I$1,#REF!,8,0)</f>
        <v>#REF!</v>
      </c>
      <c r="I4" s="155">
        <f>I1</f>
        <v>1</v>
      </c>
      <c r="J4" s="214"/>
      <c r="K4" s="290"/>
      <c r="L4" s="291"/>
      <c r="O4" s="165" t="s">
        <v>312</v>
      </c>
      <c r="P4" s="139"/>
      <c r="Q4" s="165" t="s">
        <v>311</v>
      </c>
    </row>
    <row r="5" spans="3:17" ht="18.95" customHeight="1" thickBot="1">
      <c r="C5" s="206" t="s">
        <v>241</v>
      </c>
      <c r="D5" s="254"/>
      <c r="E5" s="281" t="s">
        <v>242</v>
      </c>
      <c r="F5" s="123"/>
      <c r="G5" s="124" t="s">
        <v>243</v>
      </c>
      <c r="H5" s="292" t="s">
        <v>244</v>
      </c>
      <c r="I5" s="273" t="e">
        <f>VLOOKUP($I$1,#REF!,12,0)</f>
        <v>#REF!</v>
      </c>
      <c r="J5" s="217"/>
      <c r="K5" s="240" t="e">
        <f>Q5</f>
        <v>#REF!</v>
      </c>
      <c r="L5" s="267"/>
      <c r="N5" s="202" t="e">
        <f>IF(I5=1,"유사함.","본건은 비교표준지 대비 ")</f>
        <v>#REF!</v>
      </c>
      <c r="O5" s="265" t="s">
        <v>310</v>
      </c>
      <c r="P5" s="191" t="e">
        <f>IF(I5=1,"",IF(I5&gt;1,"에서 우세함.","에서 열세함."))</f>
        <v>#REF!</v>
      </c>
      <c r="Q5" s="192" t="e">
        <f>IF(N5="유사함.",N5,N5&amp;O5&amp;P5)</f>
        <v>#REF!</v>
      </c>
    </row>
    <row r="6" spans="3:17" ht="18.95" customHeight="1" thickBot="1">
      <c r="C6" s="206"/>
      <c r="D6" s="254"/>
      <c r="E6" s="281"/>
      <c r="F6" s="123"/>
      <c r="G6" s="124" t="s">
        <v>245</v>
      </c>
      <c r="H6" s="293"/>
      <c r="I6" s="273"/>
      <c r="J6" s="217"/>
      <c r="K6" s="294"/>
      <c r="L6" s="267"/>
      <c r="N6" s="202"/>
      <c r="O6" s="265"/>
      <c r="P6" s="191"/>
      <c r="Q6" s="192"/>
    </row>
    <row r="7" spans="3:17" ht="18.95" customHeight="1" thickBot="1">
      <c r="C7" s="206"/>
      <c r="D7" s="254"/>
      <c r="E7" s="281"/>
      <c r="F7" s="123"/>
      <c r="G7" s="124" t="s">
        <v>246</v>
      </c>
      <c r="H7" s="293"/>
      <c r="I7" s="273"/>
      <c r="J7" s="217"/>
      <c r="K7" s="294"/>
      <c r="L7" s="267"/>
      <c r="N7" s="202"/>
      <c r="O7" s="265"/>
      <c r="P7" s="191"/>
      <c r="Q7" s="192"/>
    </row>
    <row r="8" spans="3:17" ht="18.95" customHeight="1" thickBot="1">
      <c r="C8" s="207"/>
      <c r="D8" s="254"/>
      <c r="E8" s="282"/>
      <c r="F8" s="123"/>
      <c r="G8" s="124" t="s">
        <v>247</v>
      </c>
      <c r="H8" s="293"/>
      <c r="I8" s="273"/>
      <c r="J8" s="214"/>
      <c r="K8" s="300"/>
      <c r="L8" s="267"/>
      <c r="N8" s="202"/>
      <c r="O8" s="265"/>
      <c r="P8" s="191"/>
      <c r="Q8" s="192"/>
    </row>
    <row r="9" spans="3:17" ht="20.25" customHeight="1" thickBot="1">
      <c r="C9" s="206" t="s">
        <v>193</v>
      </c>
      <c r="D9" s="213"/>
      <c r="E9" s="274" t="s">
        <v>248</v>
      </c>
      <c r="F9" s="123"/>
      <c r="G9" s="124" t="s">
        <v>249</v>
      </c>
      <c r="H9" s="292" t="s">
        <v>244</v>
      </c>
      <c r="I9" s="273" t="e">
        <f>VLOOKUP($I$1,#REF!,13,0)</f>
        <v>#REF!</v>
      </c>
      <c r="J9" s="213"/>
      <c r="K9" s="204" t="e">
        <f>Q9</f>
        <v>#REF!</v>
      </c>
      <c r="L9" s="264"/>
      <c r="N9" s="202" t="e">
        <f>IF(I9=1,"유사함.","본건은 비교표준지 대비 ")</f>
        <v>#REF!</v>
      </c>
      <c r="O9" s="265" t="s">
        <v>310</v>
      </c>
      <c r="P9" s="191" t="e">
        <f>IF(I9=1,"",IF(I9&gt;1,"에서 우세함.","에서 열세함."))</f>
        <v>#REF!</v>
      </c>
      <c r="Q9" s="192" t="e">
        <f>IF(N9="유사함.",N9,N9&amp;O9&amp;P9)</f>
        <v>#REF!</v>
      </c>
    </row>
    <row r="10" spans="3:17" ht="20.25" customHeight="1" thickBot="1">
      <c r="C10" s="206"/>
      <c r="D10" s="217"/>
      <c r="E10" s="286"/>
      <c r="F10" s="126"/>
      <c r="G10" s="128" t="s">
        <v>250</v>
      </c>
      <c r="H10" s="293"/>
      <c r="I10" s="273"/>
      <c r="J10" s="217"/>
      <c r="K10" s="294"/>
      <c r="L10" s="264"/>
      <c r="N10" s="202"/>
      <c r="O10" s="265"/>
      <c r="P10" s="191"/>
      <c r="Q10" s="192"/>
    </row>
    <row r="11" spans="3:17" ht="21.75" customHeight="1" thickBot="1">
      <c r="C11" s="207"/>
      <c r="D11" s="214"/>
      <c r="E11" s="225"/>
      <c r="F11" s="119"/>
      <c r="G11" s="129" t="s">
        <v>251</v>
      </c>
      <c r="H11" s="293"/>
      <c r="I11" s="273"/>
      <c r="J11" s="214"/>
      <c r="K11" s="294"/>
      <c r="L11" s="264"/>
      <c r="N11" s="202"/>
      <c r="O11" s="265"/>
      <c r="P11" s="191"/>
      <c r="Q11" s="192"/>
    </row>
    <row r="12" spans="3:17" ht="15" customHeight="1" thickBot="1">
      <c r="C12" s="206" t="s">
        <v>252</v>
      </c>
      <c r="D12" s="213"/>
      <c r="E12" s="156" t="s">
        <v>253</v>
      </c>
      <c r="F12" s="213"/>
      <c r="G12" s="224" t="s">
        <v>254</v>
      </c>
      <c r="H12" s="292" t="s">
        <v>244</v>
      </c>
      <c r="I12" s="273" t="e">
        <f>VLOOKUP($I$1,#REF!,14,0)</f>
        <v>#REF!</v>
      </c>
      <c r="J12" s="213"/>
      <c r="K12" s="204" t="e">
        <f>Q12</f>
        <v>#REF!</v>
      </c>
      <c r="L12" s="264"/>
      <c r="N12" s="202" t="e">
        <f>IF(I12=1,"유사함.","본건은 비교표준지 대비 ")</f>
        <v>#REF!</v>
      </c>
      <c r="O12" s="265"/>
      <c r="P12" s="191" t="e">
        <f>IF(I12=1,"",IF(I12&gt;1,"에서 우세함.","에서 열세함."))</f>
        <v>#REF!</v>
      </c>
      <c r="Q12" s="192" t="e">
        <f>IF(N12="유사함.",N12,N12&amp;O12&amp;P12)</f>
        <v>#REF!</v>
      </c>
    </row>
    <row r="13" spans="3:17" ht="15" customHeight="1" thickBot="1">
      <c r="C13" s="206"/>
      <c r="D13" s="217"/>
      <c r="E13" s="157" t="s">
        <v>255</v>
      </c>
      <c r="F13" s="214"/>
      <c r="G13" s="225"/>
      <c r="H13" s="293"/>
      <c r="I13" s="273"/>
      <c r="J13" s="217"/>
      <c r="K13" s="294"/>
      <c r="L13" s="264"/>
      <c r="N13" s="202"/>
      <c r="O13" s="265"/>
      <c r="P13" s="191"/>
      <c r="Q13" s="192"/>
    </row>
    <row r="14" spans="3:17" ht="15" customHeight="1" thickBot="1">
      <c r="C14" s="207"/>
      <c r="D14" s="213"/>
      <c r="E14" s="224" t="s">
        <v>256</v>
      </c>
      <c r="F14" s="126"/>
      <c r="G14" s="128" t="s">
        <v>257</v>
      </c>
      <c r="H14" s="293"/>
      <c r="I14" s="273"/>
      <c r="J14" s="217"/>
      <c r="K14" s="294"/>
      <c r="L14" s="264"/>
      <c r="N14" s="202"/>
      <c r="O14" s="265"/>
      <c r="P14" s="191"/>
      <c r="Q14" s="192"/>
    </row>
    <row r="15" spans="3:17" ht="15" customHeight="1" thickBot="1">
      <c r="C15" s="207"/>
      <c r="D15" s="214"/>
      <c r="E15" s="225"/>
      <c r="F15" s="119"/>
      <c r="G15" s="158" t="s">
        <v>258</v>
      </c>
      <c r="H15" s="293"/>
      <c r="I15" s="273"/>
      <c r="J15" s="217"/>
      <c r="K15" s="294"/>
      <c r="L15" s="264"/>
      <c r="N15" s="202"/>
      <c r="O15" s="265"/>
      <c r="P15" s="191"/>
      <c r="Q15" s="192"/>
    </row>
    <row r="16" spans="3:17" ht="18.95" customHeight="1" thickBot="1">
      <c r="C16" s="207"/>
      <c r="D16" s="123"/>
      <c r="E16" s="143" t="s">
        <v>259</v>
      </c>
      <c r="F16" s="159"/>
      <c r="G16" s="127" t="s">
        <v>260</v>
      </c>
      <c r="H16" s="293"/>
      <c r="I16" s="273"/>
      <c r="J16" s="214"/>
      <c r="K16" s="294"/>
      <c r="L16" s="264"/>
      <c r="N16" s="202"/>
      <c r="O16" s="265"/>
      <c r="P16" s="191"/>
      <c r="Q16" s="192"/>
    </row>
    <row r="17" spans="3:17" ht="18.95" customHeight="1" thickBot="1">
      <c r="C17" s="226" t="s">
        <v>208</v>
      </c>
      <c r="D17" s="208"/>
      <c r="E17" s="281" t="s">
        <v>261</v>
      </c>
      <c r="F17" s="132"/>
      <c r="G17" s="127" t="s">
        <v>210</v>
      </c>
      <c r="H17" s="295" t="s">
        <v>244</v>
      </c>
      <c r="I17" s="277" t="e">
        <f>VLOOKUP($I$1,#REF!,15,0)</f>
        <v>#REF!</v>
      </c>
      <c r="J17" s="213"/>
      <c r="K17" s="238" t="e">
        <f>Q17</f>
        <v>#REF!</v>
      </c>
      <c r="L17" s="266"/>
      <c r="N17" s="202" t="e">
        <f>IF(I17=1,"유사함.","본건은 비교표준지 대비 ")</f>
        <v>#REF!</v>
      </c>
      <c r="O17" s="265"/>
      <c r="P17" s="191" t="e">
        <f>IF(I17=1,"",IF(I17&gt;1,"에서 우세함.","에서 열세함."))</f>
        <v>#REF!</v>
      </c>
      <c r="Q17" s="192" t="e">
        <f>IF(N17="유사함.",N17,N17&amp;O17&amp;P17)</f>
        <v>#REF!</v>
      </c>
    </row>
    <row r="18" spans="3:17" ht="18.95" customHeight="1" thickBot="1">
      <c r="C18" s="227"/>
      <c r="D18" s="209"/>
      <c r="E18" s="281"/>
      <c r="F18" s="132"/>
      <c r="G18" s="127" t="s">
        <v>262</v>
      </c>
      <c r="H18" s="298"/>
      <c r="I18" s="278"/>
      <c r="J18" s="217"/>
      <c r="K18" s="239"/>
      <c r="L18" s="267"/>
      <c r="N18" s="202"/>
      <c r="O18" s="265"/>
      <c r="P18" s="191"/>
      <c r="Q18" s="192"/>
    </row>
    <row r="19" spans="3:17" ht="18.95" customHeight="1" thickBot="1">
      <c r="C19" s="227"/>
      <c r="D19" s="209"/>
      <c r="E19" s="281"/>
      <c r="F19" s="132"/>
      <c r="G19" s="127" t="s">
        <v>263</v>
      </c>
      <c r="H19" s="298"/>
      <c r="I19" s="278"/>
      <c r="J19" s="217"/>
      <c r="K19" s="239"/>
      <c r="L19" s="267"/>
      <c r="N19" s="202"/>
      <c r="O19" s="265"/>
      <c r="P19" s="191"/>
      <c r="Q19" s="192"/>
    </row>
    <row r="20" spans="3:17" ht="18.95" customHeight="1" thickBot="1">
      <c r="C20" s="227"/>
      <c r="D20" s="209"/>
      <c r="E20" s="281"/>
      <c r="F20" s="132"/>
      <c r="G20" s="127" t="s">
        <v>264</v>
      </c>
      <c r="H20" s="298"/>
      <c r="I20" s="278"/>
      <c r="J20" s="217"/>
      <c r="K20" s="239"/>
      <c r="L20" s="267"/>
      <c r="N20" s="202"/>
      <c r="O20" s="265"/>
      <c r="P20" s="191"/>
      <c r="Q20" s="192"/>
    </row>
    <row r="21" spans="3:17" ht="18.95" customHeight="1" thickBot="1">
      <c r="C21" s="227"/>
      <c r="D21" s="209"/>
      <c r="E21" s="281"/>
      <c r="F21" s="132"/>
      <c r="G21" s="127" t="s">
        <v>265</v>
      </c>
      <c r="H21" s="298"/>
      <c r="I21" s="278"/>
      <c r="J21" s="217"/>
      <c r="K21" s="239"/>
      <c r="L21" s="267"/>
      <c r="N21" s="202"/>
      <c r="O21" s="265"/>
      <c r="P21" s="191"/>
      <c r="Q21" s="192"/>
    </row>
    <row r="22" spans="3:17" ht="18.95" customHeight="1" thickBot="1">
      <c r="C22" s="227"/>
      <c r="D22" s="209"/>
      <c r="E22" s="281"/>
      <c r="F22" s="132"/>
      <c r="G22" s="127" t="s">
        <v>266</v>
      </c>
      <c r="H22" s="298"/>
      <c r="I22" s="278"/>
      <c r="J22" s="217"/>
      <c r="K22" s="239"/>
      <c r="L22" s="267"/>
      <c r="N22" s="202"/>
      <c r="O22" s="265"/>
      <c r="P22" s="191"/>
      <c r="Q22" s="192"/>
    </row>
    <row r="23" spans="3:17" ht="18.95" customHeight="1" thickBot="1">
      <c r="C23" s="227"/>
      <c r="D23" s="210"/>
      <c r="E23" s="282"/>
      <c r="F23" s="132"/>
      <c r="G23" s="124" t="s">
        <v>267</v>
      </c>
      <c r="H23" s="298"/>
      <c r="I23" s="278"/>
      <c r="J23" s="217"/>
      <c r="K23" s="239"/>
      <c r="L23" s="267"/>
      <c r="N23" s="202"/>
      <c r="O23" s="265"/>
      <c r="P23" s="191"/>
      <c r="Q23" s="192"/>
    </row>
    <row r="24" spans="3:17" ht="18.95" customHeight="1" thickBot="1">
      <c r="C24" s="227"/>
      <c r="D24" s="280"/>
      <c r="E24" s="282" t="s">
        <v>268</v>
      </c>
      <c r="F24" s="132"/>
      <c r="G24" s="124" t="s">
        <v>234</v>
      </c>
      <c r="H24" s="298"/>
      <c r="I24" s="278"/>
      <c r="J24" s="217"/>
      <c r="K24" s="239"/>
      <c r="L24" s="267"/>
      <c r="N24" s="202"/>
      <c r="O24" s="265"/>
      <c r="P24" s="191"/>
      <c r="Q24" s="192"/>
    </row>
    <row r="25" spans="3:17" ht="18.95" customHeight="1" thickBot="1">
      <c r="C25" s="227"/>
      <c r="D25" s="280"/>
      <c r="E25" s="282"/>
      <c r="F25" s="132"/>
      <c r="G25" s="124" t="s">
        <v>269</v>
      </c>
      <c r="H25" s="298"/>
      <c r="I25" s="278"/>
      <c r="J25" s="217"/>
      <c r="K25" s="239"/>
      <c r="L25" s="267"/>
      <c r="N25" s="202"/>
      <c r="O25" s="265"/>
      <c r="P25" s="191"/>
      <c r="Q25" s="192"/>
    </row>
    <row r="26" spans="3:17" ht="18.95" customHeight="1" thickBot="1">
      <c r="C26" s="227"/>
      <c r="D26" s="280"/>
      <c r="E26" s="282"/>
      <c r="F26" s="132"/>
      <c r="G26" s="124" t="s">
        <v>270</v>
      </c>
      <c r="H26" s="298"/>
      <c r="I26" s="278"/>
      <c r="J26" s="217"/>
      <c r="K26" s="239"/>
      <c r="L26" s="267"/>
      <c r="N26" s="202"/>
      <c r="O26" s="265"/>
      <c r="P26" s="191"/>
      <c r="Q26" s="192"/>
    </row>
    <row r="27" spans="3:17" ht="18.95" customHeight="1" thickBot="1">
      <c r="C27" s="227"/>
      <c r="D27" s="280"/>
      <c r="E27" s="282" t="s">
        <v>271</v>
      </c>
      <c r="F27" s="132"/>
      <c r="G27" s="124" t="s">
        <v>272</v>
      </c>
      <c r="H27" s="298"/>
      <c r="I27" s="278"/>
      <c r="J27" s="217"/>
      <c r="K27" s="239"/>
      <c r="L27" s="267"/>
      <c r="N27" s="202"/>
      <c r="O27" s="265"/>
      <c r="P27" s="191"/>
      <c r="Q27" s="192"/>
    </row>
    <row r="28" spans="3:17" ht="18.95" customHeight="1" thickBot="1">
      <c r="C28" s="227"/>
      <c r="D28" s="280"/>
      <c r="E28" s="282"/>
      <c r="F28" s="132"/>
      <c r="G28" s="124" t="s">
        <v>273</v>
      </c>
      <c r="H28" s="298"/>
      <c r="I28" s="278"/>
      <c r="J28" s="217"/>
      <c r="K28" s="239"/>
      <c r="L28" s="267"/>
      <c r="N28" s="202"/>
      <c r="O28" s="265"/>
      <c r="P28" s="191"/>
      <c r="Q28" s="192"/>
    </row>
    <row r="29" spans="3:17" ht="18.95" customHeight="1" thickBot="1">
      <c r="C29" s="228"/>
      <c r="D29" s="280"/>
      <c r="E29" s="282"/>
      <c r="F29" s="132"/>
      <c r="G29" s="124" t="s">
        <v>274</v>
      </c>
      <c r="H29" s="299"/>
      <c r="I29" s="279"/>
      <c r="J29" s="214"/>
      <c r="K29" s="240"/>
      <c r="L29" s="291"/>
      <c r="N29" s="202"/>
      <c r="O29" s="265"/>
      <c r="P29" s="191"/>
      <c r="Q29" s="192"/>
    </row>
    <row r="30" spans="3:17" ht="18.95" customHeight="1" thickBot="1">
      <c r="C30" s="226" t="s">
        <v>215</v>
      </c>
      <c r="D30" s="280"/>
      <c r="E30" s="281" t="s">
        <v>275</v>
      </c>
      <c r="F30" s="132"/>
      <c r="G30" s="124" t="s">
        <v>276</v>
      </c>
      <c r="H30" s="295" t="s">
        <v>244</v>
      </c>
      <c r="I30" s="277" t="e">
        <f>VLOOKUP($I$1,#REF!,16,0)</f>
        <v>#REF!</v>
      </c>
      <c r="J30" s="254"/>
      <c r="K30" s="204" t="e">
        <f>Q30</f>
        <v>#REF!</v>
      </c>
      <c r="L30" s="264"/>
      <c r="N30" s="202" t="e">
        <f>IF(I30=1,"유사함.","본건은 비교표준지 대비 ")</f>
        <v>#REF!</v>
      </c>
      <c r="O30" s="265"/>
      <c r="P30" s="191" t="e">
        <f>IF(I30=1,"",IF(I30&gt;1,"에서 우세함.","에서 열세함."))</f>
        <v>#REF!</v>
      </c>
      <c r="Q30" s="192" t="e">
        <f>IF(N30="유사함.",N30,N30&amp;O30&amp;P30)</f>
        <v>#REF!</v>
      </c>
    </row>
    <row r="31" spans="3:17" ht="18.95" customHeight="1" thickBot="1">
      <c r="C31" s="227"/>
      <c r="D31" s="280"/>
      <c r="E31" s="282"/>
      <c r="F31" s="132"/>
      <c r="G31" s="124" t="s">
        <v>277</v>
      </c>
      <c r="H31" s="296"/>
      <c r="I31" s="278"/>
      <c r="J31" s="254"/>
      <c r="K31" s="294"/>
      <c r="L31" s="264"/>
      <c r="N31" s="202"/>
      <c r="O31" s="265"/>
      <c r="P31" s="191"/>
      <c r="Q31" s="192"/>
    </row>
    <row r="32" spans="3:17" ht="18.95" customHeight="1" thickBot="1">
      <c r="C32" s="227"/>
      <c r="D32" s="280"/>
      <c r="E32" s="282"/>
      <c r="F32" s="132"/>
      <c r="G32" s="124" t="s">
        <v>278</v>
      </c>
      <c r="H32" s="296"/>
      <c r="I32" s="278"/>
      <c r="J32" s="254"/>
      <c r="K32" s="294"/>
      <c r="L32" s="264"/>
      <c r="N32" s="202"/>
      <c r="O32" s="265"/>
      <c r="P32" s="191"/>
      <c r="Q32" s="192"/>
    </row>
    <row r="33" spans="3:17" ht="18.95" customHeight="1" thickBot="1">
      <c r="C33" s="228"/>
      <c r="D33" s="280"/>
      <c r="E33" s="282"/>
      <c r="F33" s="132"/>
      <c r="G33" s="124" t="s">
        <v>279</v>
      </c>
      <c r="H33" s="297"/>
      <c r="I33" s="279"/>
      <c r="J33" s="254"/>
      <c r="K33" s="294"/>
      <c r="L33" s="264"/>
      <c r="N33" s="202"/>
      <c r="O33" s="265"/>
      <c r="P33" s="191"/>
      <c r="Q33" s="192"/>
    </row>
    <row r="34" spans="3:17" ht="18.95" customHeight="1" thickBot="1">
      <c r="C34" s="206" t="s">
        <v>220</v>
      </c>
      <c r="D34" s="213"/>
      <c r="E34" s="212" t="s">
        <v>184</v>
      </c>
      <c r="F34" s="123"/>
      <c r="G34" s="124" t="s">
        <v>221</v>
      </c>
      <c r="H34" s="292" t="s">
        <v>244</v>
      </c>
      <c r="I34" s="273" t="e">
        <f>VLOOKUP($I$1,#REF!,17,0)</f>
        <v>#REF!</v>
      </c>
      <c r="J34" s="254"/>
      <c r="K34" s="204" t="e">
        <f>Q34</f>
        <v>#REF!</v>
      </c>
      <c r="L34" s="264"/>
      <c r="N34" s="202" t="e">
        <f>IF(I34=1,"유사함.","본건은 비교표준지 대비 ")</f>
        <v>#REF!</v>
      </c>
      <c r="O34" s="265"/>
      <c r="P34" s="191" t="e">
        <f>IF(I34=1,"",IF(I34&gt;1,"에서 우세함.","에서 열세함."))</f>
        <v>#REF!</v>
      </c>
      <c r="Q34" s="192" t="e">
        <f>IF(N34="유사함.",N34,N34&amp;O34&amp;P34)</f>
        <v>#REF!</v>
      </c>
    </row>
    <row r="35" spans="3:17" ht="18.95" customHeight="1" thickBot="1">
      <c r="C35" s="207"/>
      <c r="D35" s="214"/>
      <c r="E35" s="212"/>
      <c r="F35" s="123"/>
      <c r="G35" s="124" t="s">
        <v>184</v>
      </c>
      <c r="H35" s="293"/>
      <c r="I35" s="273"/>
      <c r="J35" s="254"/>
      <c r="K35" s="294"/>
      <c r="L35" s="264"/>
      <c r="N35" s="202"/>
      <c r="O35" s="265"/>
      <c r="P35" s="191"/>
      <c r="Q35" s="192"/>
    </row>
    <row r="36" spans="3:17" ht="27.75" customHeight="1">
      <c r="C36" s="268" t="s">
        <v>240</v>
      </c>
      <c r="D36" s="269"/>
      <c r="E36" s="270"/>
      <c r="F36" s="270"/>
      <c r="G36" s="270"/>
      <c r="H36" s="160"/>
      <c r="I36" s="133" t="e">
        <f>I5*I9*I12*I17*I30*I34</f>
        <v>#REF!</v>
      </c>
      <c r="J36" s="271"/>
      <c r="K36" s="197"/>
      <c r="L36" s="272"/>
    </row>
    <row r="37" spans="3:17" ht="9.75" customHeight="1"/>
  </sheetData>
  <mergeCells count="90">
    <mergeCell ref="C2:C4"/>
    <mergeCell ref="D2:E4"/>
    <mergeCell ref="F2:G4"/>
    <mergeCell ref="H2:I2"/>
    <mergeCell ref="J2:L4"/>
    <mergeCell ref="C5:C8"/>
    <mergeCell ref="D5:D8"/>
    <mergeCell ref="E5:E8"/>
    <mergeCell ref="H5:H8"/>
    <mergeCell ref="I5:I8"/>
    <mergeCell ref="J12:J16"/>
    <mergeCell ref="K12:K16"/>
    <mergeCell ref="C9:C11"/>
    <mergeCell ref="D9:D11"/>
    <mergeCell ref="E9:E11"/>
    <mergeCell ref="H9:H11"/>
    <mergeCell ref="I9:I11"/>
    <mergeCell ref="J5:J8"/>
    <mergeCell ref="K5:K8"/>
    <mergeCell ref="L5:L8"/>
    <mergeCell ref="K9:K11"/>
    <mergeCell ref="J9:J11"/>
    <mergeCell ref="L24:L26"/>
    <mergeCell ref="D27:D29"/>
    <mergeCell ref="E27:E29"/>
    <mergeCell ref="H17:H29"/>
    <mergeCell ref="C12:C16"/>
    <mergeCell ref="D12:D13"/>
    <mergeCell ref="F12:F13"/>
    <mergeCell ref="G12:G13"/>
    <mergeCell ref="D14:D15"/>
    <mergeCell ref="E14:E15"/>
    <mergeCell ref="C17:C29"/>
    <mergeCell ref="D17:D23"/>
    <mergeCell ref="E17:E23"/>
    <mergeCell ref="L12:L16"/>
    <mergeCell ref="H12:H16"/>
    <mergeCell ref="I12:I16"/>
    <mergeCell ref="J34:J35"/>
    <mergeCell ref="J27:J29"/>
    <mergeCell ref="L27:L29"/>
    <mergeCell ref="C30:C33"/>
    <mergeCell ref="D30:D33"/>
    <mergeCell ref="E30:E33"/>
    <mergeCell ref="H30:H33"/>
    <mergeCell ref="I30:I33"/>
    <mergeCell ref="J30:J33"/>
    <mergeCell ref="I17:I29"/>
    <mergeCell ref="J17:J23"/>
    <mergeCell ref="K17:K29"/>
    <mergeCell ref="L17:L23"/>
    <mergeCell ref="D24:D26"/>
    <mergeCell ref="E24:E26"/>
    <mergeCell ref="J24:J26"/>
    <mergeCell ref="C36:G36"/>
    <mergeCell ref="J36:L36"/>
    <mergeCell ref="N9:N11"/>
    <mergeCell ref="O9:O11"/>
    <mergeCell ref="N17:N29"/>
    <mergeCell ref="O17:O29"/>
    <mergeCell ref="C34:C35"/>
    <mergeCell ref="D34:D35"/>
    <mergeCell ref="E34:E35"/>
    <mergeCell ref="H34:H35"/>
    <mergeCell ref="K34:K35"/>
    <mergeCell ref="L34:L35"/>
    <mergeCell ref="K30:K33"/>
    <mergeCell ref="L30:L33"/>
    <mergeCell ref="L9:L11"/>
    <mergeCell ref="I34:I35"/>
    <mergeCell ref="N34:N35"/>
    <mergeCell ref="O34:O35"/>
    <mergeCell ref="P34:P35"/>
    <mergeCell ref="Q34:Q35"/>
    <mergeCell ref="P17:P29"/>
    <mergeCell ref="N30:N33"/>
    <mergeCell ref="O30:O33"/>
    <mergeCell ref="P30:P33"/>
    <mergeCell ref="Q30:Q33"/>
    <mergeCell ref="N5:N8"/>
    <mergeCell ref="O5:O8"/>
    <mergeCell ref="P5:P8"/>
    <mergeCell ref="Q5:Q8"/>
    <mergeCell ref="Q17:Q29"/>
    <mergeCell ref="Q9:Q11"/>
    <mergeCell ref="N12:N16"/>
    <mergeCell ref="O12:O16"/>
    <mergeCell ref="P12:P16"/>
    <mergeCell ref="Q12:Q16"/>
    <mergeCell ref="P9:P11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72"/>
  <pageSetup paperSize="9" scale="93" orientation="portrait" r:id="rId1"/>
  <headerFooter alignWithMargins="0">
    <oddHeader>&amp;C&amp;"굴림체,굵게"&amp;22&amp;U개 별 요 인 비 교 표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39997558519241921"/>
  </sheetPr>
  <dimension ref="C1:Q29"/>
  <sheetViews>
    <sheetView view="pageBreakPreview" zoomScale="90" zoomScaleNormal="100" zoomScaleSheetLayoutView="90" workbookViewId="0">
      <selection activeCell="B1" sqref="B1"/>
    </sheetView>
  </sheetViews>
  <sheetFormatPr defaultRowHeight="12"/>
  <cols>
    <col min="1" max="1" width="0.42578125" style="113" customWidth="1"/>
    <col min="2" max="2" width="3.5703125" style="113" customWidth="1"/>
    <col min="3" max="3" width="7.140625" style="113" customWidth="1"/>
    <col min="4" max="4" width="0.85546875" style="113" customWidth="1"/>
    <col min="5" max="5" width="16.7109375" style="152" customWidth="1"/>
    <col min="6" max="6" width="0.85546875" style="113" customWidth="1"/>
    <col min="7" max="7" width="26.7109375" style="113" customWidth="1"/>
    <col min="8" max="9" width="11.5703125" style="113" customWidth="1"/>
    <col min="10" max="10" width="0.85546875" style="113" customWidth="1"/>
    <col min="11" max="11" width="15.5703125" style="113" customWidth="1"/>
    <col min="12" max="12" width="0.85546875" style="113" customWidth="1"/>
    <col min="13" max="13" width="3.5703125" style="113" customWidth="1"/>
    <col min="14" max="14" width="13.42578125" style="113" customWidth="1"/>
    <col min="15" max="15" width="15.42578125" style="113" customWidth="1"/>
    <col min="16" max="16" width="13.42578125" style="113" customWidth="1"/>
    <col min="17" max="17" width="15.42578125" style="113" customWidth="1"/>
    <col min="18" max="16384" width="9.140625" style="113"/>
  </cols>
  <sheetData>
    <row r="1" spans="3:17" ht="13.5" customHeight="1">
      <c r="C1" s="135"/>
      <c r="D1" s="135"/>
      <c r="E1" s="136"/>
      <c r="F1" s="137"/>
      <c r="G1" s="136"/>
      <c r="H1" s="166" t="s">
        <v>314</v>
      </c>
      <c r="I1" s="167">
        <v>1</v>
      </c>
      <c r="J1" s="137"/>
      <c r="K1" s="137"/>
      <c r="L1" s="137"/>
    </row>
    <row r="2" spans="3:17" ht="15" customHeight="1">
      <c r="C2" s="248" t="s">
        <v>186</v>
      </c>
      <c r="D2" s="249" t="s">
        <v>187</v>
      </c>
      <c r="E2" s="250"/>
      <c r="F2" s="249" t="s">
        <v>188</v>
      </c>
      <c r="G2" s="250"/>
      <c r="H2" s="253" t="s">
        <v>189</v>
      </c>
      <c r="I2" s="253"/>
      <c r="J2" s="249" t="s">
        <v>190</v>
      </c>
      <c r="K2" s="287"/>
      <c r="L2" s="288"/>
    </row>
    <row r="3" spans="3:17" ht="15" customHeight="1">
      <c r="C3" s="207"/>
      <c r="D3" s="217"/>
      <c r="E3" s="251"/>
      <c r="F3" s="217"/>
      <c r="G3" s="251"/>
      <c r="H3" s="117" t="s">
        <v>191</v>
      </c>
      <c r="I3" s="154" t="s">
        <v>192</v>
      </c>
      <c r="J3" s="217"/>
      <c r="K3" s="289"/>
      <c r="L3" s="267"/>
    </row>
    <row r="4" spans="3:17" ht="15" customHeight="1" thickBot="1">
      <c r="C4" s="207"/>
      <c r="D4" s="214"/>
      <c r="E4" s="252"/>
      <c r="F4" s="214"/>
      <c r="G4" s="252"/>
      <c r="H4" s="155" t="e">
        <f>VLOOKUP($I$1,#REF!,8,0)</f>
        <v>#REF!</v>
      </c>
      <c r="I4" s="155">
        <f>I1</f>
        <v>1</v>
      </c>
      <c r="J4" s="214"/>
      <c r="K4" s="290"/>
      <c r="L4" s="291"/>
      <c r="N4" s="139"/>
      <c r="O4" s="165" t="s">
        <v>312</v>
      </c>
      <c r="P4" s="139"/>
      <c r="Q4" s="165" t="s">
        <v>311</v>
      </c>
    </row>
    <row r="5" spans="3:17" ht="20.100000000000001" customHeight="1" thickBot="1">
      <c r="C5" s="206" t="s">
        <v>241</v>
      </c>
      <c r="D5" s="254"/>
      <c r="E5" s="281" t="s">
        <v>242</v>
      </c>
      <c r="F5" s="123"/>
      <c r="G5" s="124" t="s">
        <v>280</v>
      </c>
      <c r="H5" s="215">
        <v>1</v>
      </c>
      <c r="I5" s="273" t="e">
        <f>VLOOKUP($I$1,#REF!,12,0)</f>
        <v>#REF!</v>
      </c>
      <c r="J5" s="217"/>
      <c r="K5" s="240" t="e">
        <f>Q5</f>
        <v>#REF!</v>
      </c>
      <c r="L5" s="267"/>
      <c r="N5" s="202" t="e">
        <f>IF(I5=1,"유사함.","본건은 비교표준지 대비 ")</f>
        <v>#REF!</v>
      </c>
      <c r="O5" s="265"/>
      <c r="P5" s="191" t="e">
        <f>IF(I5=1,"",IF(I5&gt;1,"에서 우세함.","에서 열세함."))</f>
        <v>#REF!</v>
      </c>
      <c r="Q5" s="192" t="e">
        <f>IF(N5="유사함.",N5,N5&amp;O5&amp;P5)</f>
        <v>#REF!</v>
      </c>
    </row>
    <row r="6" spans="3:17" ht="20.100000000000001" customHeight="1" thickBot="1">
      <c r="C6" s="206"/>
      <c r="D6" s="254"/>
      <c r="E6" s="281"/>
      <c r="F6" s="123"/>
      <c r="G6" s="124" t="s">
        <v>281</v>
      </c>
      <c r="H6" s="216"/>
      <c r="I6" s="273"/>
      <c r="J6" s="217"/>
      <c r="K6" s="294"/>
      <c r="L6" s="267"/>
      <c r="N6" s="202"/>
      <c r="O6" s="265"/>
      <c r="P6" s="191"/>
      <c r="Q6" s="192"/>
    </row>
    <row r="7" spans="3:17" ht="20.100000000000001" customHeight="1" thickBot="1">
      <c r="C7" s="206"/>
      <c r="D7" s="254"/>
      <c r="E7" s="281"/>
      <c r="F7" s="123"/>
      <c r="G7" s="124" t="s">
        <v>282</v>
      </c>
      <c r="H7" s="216"/>
      <c r="I7" s="273"/>
      <c r="J7" s="217"/>
      <c r="K7" s="294"/>
      <c r="L7" s="267"/>
      <c r="N7" s="202"/>
      <c r="O7" s="265"/>
      <c r="P7" s="191"/>
      <c r="Q7" s="192"/>
    </row>
    <row r="8" spans="3:17" ht="26.1" customHeight="1" thickBot="1">
      <c r="C8" s="206" t="s">
        <v>193</v>
      </c>
      <c r="D8" s="161"/>
      <c r="E8" s="127" t="s">
        <v>283</v>
      </c>
      <c r="F8" s="123"/>
      <c r="G8" s="127" t="s">
        <v>284</v>
      </c>
      <c r="H8" s="215">
        <v>1</v>
      </c>
      <c r="I8" s="273" t="e">
        <f>VLOOKUP($I$1,#REF!,13,0)</f>
        <v>#REF!</v>
      </c>
      <c r="J8" s="213"/>
      <c r="K8" s="204" t="e">
        <f>Q8</f>
        <v>#REF!</v>
      </c>
      <c r="L8" s="264"/>
      <c r="N8" s="202" t="e">
        <f>IF(I8=1,"유사함.","본건은 비교표준지 대비 ")</f>
        <v>#REF!</v>
      </c>
      <c r="O8" s="265" t="str">
        <f>G8</f>
        <v>인근대중교통시설과의 거리 및 편의성</v>
      </c>
      <c r="P8" s="191" t="e">
        <f>IF(I8=1,"",IF(I8&gt;1,"에서 우세함.","에서 열세함."))</f>
        <v>#REF!</v>
      </c>
      <c r="Q8" s="192" t="e">
        <f>IF(N8="유사함.",N8,N8&amp;O8&amp;P8)</f>
        <v>#REF!</v>
      </c>
    </row>
    <row r="9" spans="3:17" ht="26.1" customHeight="1" thickBot="1">
      <c r="C9" s="206"/>
      <c r="D9" s="161"/>
      <c r="E9" s="127" t="s">
        <v>285</v>
      </c>
      <c r="F9" s="123"/>
      <c r="G9" s="127" t="s">
        <v>286</v>
      </c>
      <c r="H9" s="216"/>
      <c r="I9" s="273"/>
      <c r="J9" s="217"/>
      <c r="K9" s="294"/>
      <c r="L9" s="264"/>
      <c r="N9" s="202"/>
      <c r="O9" s="265"/>
      <c r="P9" s="191"/>
      <c r="Q9" s="192"/>
    </row>
    <row r="10" spans="3:17" ht="36.75" customHeight="1" thickBot="1">
      <c r="C10" s="207"/>
      <c r="D10" s="161"/>
      <c r="E10" s="127" t="s">
        <v>287</v>
      </c>
      <c r="F10" s="123"/>
      <c r="G10" s="127" t="s">
        <v>288</v>
      </c>
      <c r="H10" s="216"/>
      <c r="I10" s="273"/>
      <c r="J10" s="214"/>
      <c r="K10" s="294"/>
      <c r="L10" s="264"/>
      <c r="N10" s="202"/>
      <c r="O10" s="265"/>
      <c r="P10" s="191"/>
      <c r="Q10" s="192"/>
    </row>
    <row r="11" spans="3:17" ht="20.100000000000001" customHeight="1" thickBot="1">
      <c r="C11" s="206" t="s">
        <v>252</v>
      </c>
      <c r="D11" s="161"/>
      <c r="E11" s="148" t="s">
        <v>289</v>
      </c>
      <c r="F11" s="162"/>
      <c r="G11" s="127" t="s">
        <v>290</v>
      </c>
      <c r="H11" s="215">
        <v>1</v>
      </c>
      <c r="I11" s="273" t="e">
        <f>VLOOKUP($I$1,#REF!,14,0)</f>
        <v>#REF!</v>
      </c>
      <c r="J11" s="213"/>
      <c r="K11" s="204" t="e">
        <f>Q11</f>
        <v>#REF!</v>
      </c>
      <c r="L11" s="264"/>
      <c r="N11" s="202" t="e">
        <f>IF(I11=1,"유사함.","본건은 비교표준지 대비 ")</f>
        <v>#REF!</v>
      </c>
      <c r="O11" s="265"/>
      <c r="P11" s="191" t="e">
        <f>IF(I11=1,"",IF(I11&gt;1,"에서 우세함.","에서 열세함."))</f>
        <v>#REF!</v>
      </c>
      <c r="Q11" s="192" t="e">
        <f>IF(N11="유사함.",N11,N11&amp;O11&amp;P11)</f>
        <v>#REF!</v>
      </c>
    </row>
    <row r="12" spans="3:17" ht="20.100000000000001" customHeight="1" thickBot="1">
      <c r="C12" s="206"/>
      <c r="D12" s="161"/>
      <c r="E12" s="148" t="s">
        <v>291</v>
      </c>
      <c r="F12" s="162"/>
      <c r="G12" s="127" t="s">
        <v>292</v>
      </c>
      <c r="H12" s="216"/>
      <c r="I12" s="273"/>
      <c r="J12" s="217"/>
      <c r="K12" s="294"/>
      <c r="L12" s="264"/>
      <c r="N12" s="202"/>
      <c r="O12" s="265"/>
      <c r="P12" s="191"/>
      <c r="Q12" s="192"/>
    </row>
    <row r="13" spans="3:17" ht="20.100000000000001" customHeight="1" thickBot="1">
      <c r="C13" s="207"/>
      <c r="D13" s="254"/>
      <c r="E13" s="281" t="s">
        <v>293</v>
      </c>
      <c r="F13" s="132"/>
      <c r="G13" s="127" t="s">
        <v>294</v>
      </c>
      <c r="H13" s="216"/>
      <c r="I13" s="273"/>
      <c r="J13" s="217"/>
      <c r="K13" s="294"/>
      <c r="L13" s="264"/>
      <c r="N13" s="202"/>
      <c r="O13" s="265"/>
      <c r="P13" s="191"/>
      <c r="Q13" s="192"/>
    </row>
    <row r="14" spans="3:17" ht="26.1" customHeight="1" thickBot="1">
      <c r="C14" s="207"/>
      <c r="D14" s="254"/>
      <c r="E14" s="281"/>
      <c r="F14" s="132"/>
      <c r="G14" s="127" t="s">
        <v>295</v>
      </c>
      <c r="H14" s="216"/>
      <c r="I14" s="273"/>
      <c r="J14" s="217"/>
      <c r="K14" s="294"/>
      <c r="L14" s="264"/>
      <c r="N14" s="202"/>
      <c r="O14" s="265"/>
      <c r="P14" s="191"/>
      <c r="Q14" s="192"/>
    </row>
    <row r="15" spans="3:17" ht="26.1" customHeight="1" thickBot="1">
      <c r="C15" s="207"/>
      <c r="D15" s="161"/>
      <c r="E15" s="127" t="s">
        <v>296</v>
      </c>
      <c r="F15" s="132"/>
      <c r="G15" s="163" t="s">
        <v>297</v>
      </c>
      <c r="H15" s="216"/>
      <c r="I15" s="273"/>
      <c r="J15" s="217"/>
      <c r="K15" s="294"/>
      <c r="L15" s="264"/>
      <c r="N15" s="202"/>
      <c r="O15" s="265"/>
      <c r="P15" s="191"/>
      <c r="Q15" s="192"/>
    </row>
    <row r="16" spans="3:17" ht="26.1" customHeight="1" thickBot="1">
      <c r="C16" s="207"/>
      <c r="D16" s="254"/>
      <c r="E16" s="281" t="s">
        <v>298</v>
      </c>
      <c r="F16" s="132"/>
      <c r="G16" s="127" t="s">
        <v>299</v>
      </c>
      <c r="H16" s="216"/>
      <c r="I16" s="273"/>
      <c r="J16" s="217"/>
      <c r="K16" s="294"/>
      <c r="L16" s="264"/>
      <c r="N16" s="202"/>
      <c r="O16" s="265"/>
      <c r="P16" s="191"/>
      <c r="Q16" s="192"/>
    </row>
    <row r="17" spans="3:17" ht="20.100000000000001" customHeight="1" thickBot="1">
      <c r="C17" s="207"/>
      <c r="D17" s="254"/>
      <c r="E17" s="281"/>
      <c r="F17" s="164"/>
      <c r="G17" s="127" t="s">
        <v>300</v>
      </c>
      <c r="H17" s="216"/>
      <c r="I17" s="273"/>
      <c r="J17" s="214"/>
      <c r="K17" s="294"/>
      <c r="L17" s="264"/>
      <c r="N17" s="202"/>
      <c r="O17" s="265"/>
      <c r="P17" s="191"/>
      <c r="Q17" s="192"/>
    </row>
    <row r="18" spans="3:17" ht="20.100000000000001" customHeight="1" thickBot="1">
      <c r="C18" s="226" t="s">
        <v>208</v>
      </c>
      <c r="D18" s="208"/>
      <c r="E18" s="281" t="s">
        <v>301</v>
      </c>
      <c r="F18" s="132"/>
      <c r="G18" s="127" t="s">
        <v>302</v>
      </c>
      <c r="H18" s="229">
        <v>1</v>
      </c>
      <c r="I18" s="277" t="e">
        <f>VLOOKUP($I$1,#REF!,15,0)</f>
        <v>#REF!</v>
      </c>
      <c r="J18" s="213"/>
      <c r="K18" s="238" t="e">
        <f>Q18</f>
        <v>#REF!</v>
      </c>
      <c r="L18" s="266"/>
      <c r="N18" s="202" t="e">
        <f>IF(I18=1,"유사함.","본건은 비교표준지 대비 ")</f>
        <v>#REF!</v>
      </c>
      <c r="O18" s="265"/>
      <c r="P18" s="191" t="e">
        <f>IF(I18=1,"",IF(I18&gt;1,"에서 우세함.","에서 열세함."))</f>
        <v>#REF!</v>
      </c>
      <c r="Q18" s="192" t="e">
        <f>IF(N18="유사함.",N18,N18&amp;O18&amp;P18)</f>
        <v>#REF!</v>
      </c>
    </row>
    <row r="19" spans="3:17" ht="20.100000000000001" customHeight="1" thickBot="1">
      <c r="C19" s="227"/>
      <c r="D19" s="209"/>
      <c r="E19" s="281"/>
      <c r="F19" s="132"/>
      <c r="G19" s="127" t="s">
        <v>303</v>
      </c>
      <c r="H19" s="230"/>
      <c r="I19" s="278"/>
      <c r="J19" s="217"/>
      <c r="K19" s="239"/>
      <c r="L19" s="267"/>
      <c r="N19" s="202"/>
      <c r="O19" s="265"/>
      <c r="P19" s="191"/>
      <c r="Q19" s="192"/>
    </row>
    <row r="20" spans="3:17" ht="20.100000000000001" customHeight="1" thickBot="1">
      <c r="C20" s="227"/>
      <c r="D20" s="209"/>
      <c r="E20" s="281"/>
      <c r="F20" s="132"/>
      <c r="G20" s="127" t="s">
        <v>304</v>
      </c>
      <c r="H20" s="230"/>
      <c r="I20" s="278"/>
      <c r="J20" s="217"/>
      <c r="K20" s="239"/>
      <c r="L20" s="267"/>
      <c r="N20" s="202"/>
      <c r="O20" s="265"/>
      <c r="P20" s="191"/>
      <c r="Q20" s="192"/>
    </row>
    <row r="21" spans="3:17" ht="20.100000000000001" customHeight="1" thickBot="1">
      <c r="C21" s="227"/>
      <c r="D21" s="132"/>
      <c r="E21" s="143" t="s">
        <v>268</v>
      </c>
      <c r="F21" s="132"/>
      <c r="G21" s="124" t="s">
        <v>305</v>
      </c>
      <c r="H21" s="230"/>
      <c r="I21" s="278"/>
      <c r="J21" s="116"/>
      <c r="K21" s="239"/>
      <c r="L21" s="140"/>
      <c r="N21" s="202"/>
      <c r="O21" s="265"/>
      <c r="P21" s="191"/>
      <c r="Q21" s="192"/>
    </row>
    <row r="22" spans="3:17" ht="20.100000000000001" customHeight="1" thickBot="1">
      <c r="C22" s="227"/>
      <c r="D22" s="280"/>
      <c r="E22" s="282" t="s">
        <v>271</v>
      </c>
      <c r="F22" s="132"/>
      <c r="G22" s="124" t="s">
        <v>306</v>
      </c>
      <c r="H22" s="230"/>
      <c r="I22" s="278"/>
      <c r="J22" s="217"/>
      <c r="K22" s="239"/>
      <c r="L22" s="267"/>
      <c r="N22" s="202"/>
      <c r="O22" s="265"/>
      <c r="P22" s="191"/>
      <c r="Q22" s="192"/>
    </row>
    <row r="23" spans="3:17" ht="20.100000000000001" customHeight="1" thickBot="1">
      <c r="C23" s="227"/>
      <c r="D23" s="280"/>
      <c r="E23" s="282"/>
      <c r="F23" s="132"/>
      <c r="G23" s="124" t="s">
        <v>307</v>
      </c>
      <c r="H23" s="230"/>
      <c r="I23" s="278"/>
      <c r="J23" s="217"/>
      <c r="K23" s="239"/>
      <c r="L23" s="267"/>
      <c r="N23" s="202"/>
      <c r="O23" s="265"/>
      <c r="P23" s="191"/>
      <c r="Q23" s="192"/>
    </row>
    <row r="24" spans="3:17" ht="20.100000000000001" customHeight="1" thickBot="1">
      <c r="C24" s="226" t="s">
        <v>215</v>
      </c>
      <c r="D24" s="280"/>
      <c r="E24" s="281" t="s">
        <v>275</v>
      </c>
      <c r="F24" s="132"/>
      <c r="G24" s="124" t="s">
        <v>308</v>
      </c>
      <c r="H24" s="229">
        <v>1</v>
      </c>
      <c r="I24" s="277" t="e">
        <f>VLOOKUP($I$1,#REF!,16,0)</f>
        <v>#REF!</v>
      </c>
      <c r="J24" s="254"/>
      <c r="K24" s="204" t="e">
        <f>Q24</f>
        <v>#REF!</v>
      </c>
      <c r="L24" s="264"/>
      <c r="N24" s="202" t="e">
        <f>IF(I24=1,"유사함.","본건은 비교표준지 대비 ")</f>
        <v>#REF!</v>
      </c>
      <c r="O24" s="265"/>
      <c r="P24" s="191" t="e">
        <f>IF(I24=1,"",IF(I24&gt;1,"에서 우세함.","에서 열세함."))</f>
        <v>#REF!</v>
      </c>
      <c r="Q24" s="192" t="e">
        <f>IF(N24="유사함.",N24,N24&amp;O24&amp;P24)</f>
        <v>#REF!</v>
      </c>
    </row>
    <row r="25" spans="3:17" ht="20.100000000000001" customHeight="1" thickBot="1">
      <c r="C25" s="227"/>
      <c r="D25" s="280"/>
      <c r="E25" s="282"/>
      <c r="F25" s="132"/>
      <c r="G25" s="124" t="s">
        <v>309</v>
      </c>
      <c r="H25" s="233"/>
      <c r="I25" s="278"/>
      <c r="J25" s="254"/>
      <c r="K25" s="294"/>
      <c r="L25" s="264"/>
      <c r="N25" s="202"/>
      <c r="O25" s="265"/>
      <c r="P25" s="191"/>
      <c r="Q25" s="192"/>
    </row>
    <row r="26" spans="3:17" ht="20.100000000000001" customHeight="1" thickBot="1">
      <c r="C26" s="206" t="s">
        <v>220</v>
      </c>
      <c r="D26" s="213"/>
      <c r="E26" s="212" t="s">
        <v>184</v>
      </c>
      <c r="F26" s="123"/>
      <c r="G26" s="124" t="s">
        <v>221</v>
      </c>
      <c r="H26" s="215">
        <v>1</v>
      </c>
      <c r="I26" s="273" t="e">
        <f>VLOOKUP($I$1,#REF!,17,0)</f>
        <v>#REF!</v>
      </c>
      <c r="J26" s="254"/>
      <c r="K26" s="204" t="e">
        <f>Q26</f>
        <v>#REF!</v>
      </c>
      <c r="L26" s="264"/>
      <c r="N26" s="202" t="e">
        <f>IF(I26=1,"유사함.","본건은 비교표준지 대비 ")</f>
        <v>#REF!</v>
      </c>
      <c r="O26" s="265"/>
      <c r="P26" s="191" t="e">
        <f>IF(I26=1,"",IF(I26&gt;1,"에서 우세함.","에서 열세함."))</f>
        <v>#REF!</v>
      </c>
      <c r="Q26" s="192" t="e">
        <f>IF(N26="유사함.",N26,N26&amp;O26&amp;P26)</f>
        <v>#REF!</v>
      </c>
    </row>
    <row r="27" spans="3:17" ht="20.100000000000001" customHeight="1" thickBot="1">
      <c r="C27" s="207"/>
      <c r="D27" s="214"/>
      <c r="E27" s="212"/>
      <c r="F27" s="123"/>
      <c r="G27" s="124" t="s">
        <v>184</v>
      </c>
      <c r="H27" s="216"/>
      <c r="I27" s="273"/>
      <c r="J27" s="254"/>
      <c r="K27" s="294"/>
      <c r="L27" s="264"/>
      <c r="N27" s="202"/>
      <c r="O27" s="265"/>
      <c r="P27" s="191"/>
      <c r="Q27" s="192"/>
    </row>
    <row r="28" spans="3:17" ht="27.75" customHeight="1">
      <c r="C28" s="268" t="s">
        <v>240</v>
      </c>
      <c r="D28" s="269"/>
      <c r="E28" s="270"/>
      <c r="F28" s="270"/>
      <c r="G28" s="270"/>
      <c r="H28" s="160"/>
      <c r="I28" s="133" t="e">
        <f>I5*I8*I11*I18*I24*I26</f>
        <v>#REF!</v>
      </c>
      <c r="J28" s="271"/>
      <c r="K28" s="197"/>
      <c r="L28" s="272"/>
    </row>
    <row r="29" spans="3:17" ht="9.75" customHeight="1"/>
  </sheetData>
  <mergeCells count="83">
    <mergeCell ref="C2:C4"/>
    <mergeCell ref="D2:E4"/>
    <mergeCell ref="F2:G4"/>
    <mergeCell ref="H2:I2"/>
    <mergeCell ref="J2:L4"/>
    <mergeCell ref="J5:J7"/>
    <mergeCell ref="K5:K7"/>
    <mergeCell ref="L5:L7"/>
    <mergeCell ref="C8:C10"/>
    <mergeCell ref="H8:H10"/>
    <mergeCell ref="I8:I10"/>
    <mergeCell ref="J8:J10"/>
    <mergeCell ref="K8:K10"/>
    <mergeCell ref="L8:L10"/>
    <mergeCell ref="C5:C7"/>
    <mergeCell ref="D5:D7"/>
    <mergeCell ref="E5:E7"/>
    <mergeCell ref="H5:H7"/>
    <mergeCell ref="I5:I7"/>
    <mergeCell ref="C11:C17"/>
    <mergeCell ref="H11:H17"/>
    <mergeCell ref="I11:I17"/>
    <mergeCell ref="J11:J17"/>
    <mergeCell ref="K11:K17"/>
    <mergeCell ref="L11:L17"/>
    <mergeCell ref="D13:D14"/>
    <mergeCell ref="E13:E14"/>
    <mergeCell ref="D16:D17"/>
    <mergeCell ref="E16:E17"/>
    <mergeCell ref="D22:D23"/>
    <mergeCell ref="E22:E23"/>
    <mergeCell ref="J22:J23"/>
    <mergeCell ref="L22:L23"/>
    <mergeCell ref="C18:C23"/>
    <mergeCell ref="D18:D20"/>
    <mergeCell ref="E18:E20"/>
    <mergeCell ref="H18:H23"/>
    <mergeCell ref="I18:I23"/>
    <mergeCell ref="K26:K27"/>
    <mergeCell ref="L26:L27"/>
    <mergeCell ref="J18:J20"/>
    <mergeCell ref="J24:J25"/>
    <mergeCell ref="K18:K23"/>
    <mergeCell ref="L18:L20"/>
    <mergeCell ref="H24:H25"/>
    <mergeCell ref="I24:I25"/>
    <mergeCell ref="H26:H27"/>
    <mergeCell ref="I26:I27"/>
    <mergeCell ref="J26:J27"/>
    <mergeCell ref="C28:G28"/>
    <mergeCell ref="J28:L28"/>
    <mergeCell ref="N5:N7"/>
    <mergeCell ref="N8:N10"/>
    <mergeCell ref="N11:N17"/>
    <mergeCell ref="K24:K25"/>
    <mergeCell ref="L24:L25"/>
    <mergeCell ref="C26:C27"/>
    <mergeCell ref="D26:D27"/>
    <mergeCell ref="E26:E27"/>
    <mergeCell ref="N18:N23"/>
    <mergeCell ref="N24:N25"/>
    <mergeCell ref="N26:N27"/>
    <mergeCell ref="C24:C25"/>
    <mergeCell ref="D24:D25"/>
    <mergeCell ref="E24:E25"/>
    <mergeCell ref="O26:O27"/>
    <mergeCell ref="P5:P7"/>
    <mergeCell ref="P8:P10"/>
    <mergeCell ref="P11:P17"/>
    <mergeCell ref="P18:P23"/>
    <mergeCell ref="P24:P25"/>
    <mergeCell ref="P26:P27"/>
    <mergeCell ref="O5:O7"/>
    <mergeCell ref="O8:O10"/>
    <mergeCell ref="O11:O17"/>
    <mergeCell ref="O18:O23"/>
    <mergeCell ref="O24:O25"/>
    <mergeCell ref="Q26:Q27"/>
    <mergeCell ref="Q5:Q7"/>
    <mergeCell ref="Q8:Q10"/>
    <mergeCell ref="Q11:Q17"/>
    <mergeCell ref="Q18:Q23"/>
    <mergeCell ref="Q24:Q25"/>
  </mergeCells>
  <phoneticPr fontId="3" type="noConversion"/>
  <printOptions horizontalCentered="1"/>
  <pageMargins left="0.31496062992125984" right="0.31496062992125984" top="1.9685039370078741" bottom="0.98425196850393704" header="1.3779527559055118" footer="0.70866141732283461"/>
  <pageSetup paperSize="9" scale="98" orientation="portrait" r:id="rId1"/>
  <headerFooter alignWithMargins="0">
    <oddHeader>&amp;C&amp;"굴림체,굵게"&amp;22&amp;U개 별 요 인 비 교 표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tabSelected="1" view="pageBreakPreview" zoomScaleNormal="90" zoomScaleSheetLayoutView="100" workbookViewId="0">
      <pane xSplit="10" ySplit="3" topLeftCell="K4" activePane="bottomRight" state="frozen"/>
      <selection pane="topRight" activeCell="J1" sqref="J1"/>
      <selection pane="bottomLeft" activeCell="A4" sqref="A4"/>
      <selection pane="bottomRight" activeCell="K11" sqref="K11"/>
    </sheetView>
  </sheetViews>
  <sheetFormatPr defaultRowHeight="36" customHeight="1"/>
  <cols>
    <col min="1" max="1" width="6.5703125" style="168" customWidth="1"/>
    <col min="2" max="2" width="17.28515625" style="168" customWidth="1"/>
    <col min="3" max="3" width="14.28515625" style="168" customWidth="1"/>
    <col min="4" max="4" width="12.5703125" style="168" hidden="1" customWidth="1"/>
    <col min="5" max="5" width="10.42578125" style="168" customWidth="1"/>
    <col min="6" max="6" width="12.5703125" style="170" customWidth="1"/>
    <col min="7" max="7" width="16.7109375" style="168" customWidth="1"/>
    <col min="8" max="8" width="20.85546875" style="168" hidden="1" customWidth="1"/>
    <col min="9" max="9" width="22" style="168" customWidth="1"/>
    <col min="10" max="10" width="11" style="168" customWidth="1"/>
    <col min="11" max="11" width="9.140625" style="168"/>
    <col min="12" max="12" width="12.28515625" style="168" bestFit="1" customWidth="1"/>
    <col min="13" max="15" width="9.140625" style="168"/>
    <col min="16" max="16" width="22.140625" style="168" customWidth="1"/>
    <col min="17" max="16384" width="9.140625" style="168"/>
  </cols>
  <sheetData>
    <row r="1" spans="1:10" ht="12.75" thickBot="1">
      <c r="A1" s="169"/>
      <c r="B1" s="169"/>
    </row>
    <row r="2" spans="1:10" s="171" customFormat="1" ht="27.75" customHeight="1">
      <c r="A2" s="309" t="s">
        <v>0</v>
      </c>
      <c r="B2" s="303" t="s">
        <v>2</v>
      </c>
      <c r="C2" s="311" t="s">
        <v>315</v>
      </c>
      <c r="D2" s="181"/>
      <c r="E2" s="303" t="s">
        <v>4</v>
      </c>
      <c r="F2" s="312" t="s">
        <v>5</v>
      </c>
      <c r="G2" s="305" t="s">
        <v>1</v>
      </c>
      <c r="H2" s="306"/>
      <c r="I2" s="307"/>
      <c r="J2" s="301" t="s">
        <v>8</v>
      </c>
    </row>
    <row r="3" spans="1:10" s="171" customFormat="1" ht="27.75" customHeight="1">
      <c r="A3" s="310"/>
      <c r="B3" s="304"/>
      <c r="C3" s="304"/>
      <c r="D3" s="174" t="s">
        <v>155</v>
      </c>
      <c r="E3" s="304"/>
      <c r="F3" s="313"/>
      <c r="G3" s="174" t="s">
        <v>6</v>
      </c>
      <c r="H3" s="174" t="s">
        <v>7</v>
      </c>
      <c r="I3" s="173" t="s">
        <v>316</v>
      </c>
      <c r="J3" s="302"/>
    </row>
    <row r="4" spans="1:10" s="172" customFormat="1" ht="36" customHeight="1">
      <c r="A4" s="186">
        <v>1</v>
      </c>
      <c r="B4" s="175" t="s">
        <v>318</v>
      </c>
      <c r="C4" s="189" t="s">
        <v>321</v>
      </c>
      <c r="D4" s="176">
        <v>0</v>
      </c>
      <c r="E4" s="177" t="s">
        <v>156</v>
      </c>
      <c r="F4" s="178">
        <v>3356.5</v>
      </c>
      <c r="G4" s="179">
        <v>1870000</v>
      </c>
      <c r="H4" s="179">
        <v>258230000</v>
      </c>
      <c r="I4" s="180">
        <v>6276660000</v>
      </c>
      <c r="J4" s="190" t="s">
        <v>317</v>
      </c>
    </row>
    <row r="5" spans="1:10" s="172" customFormat="1" ht="36" customHeight="1">
      <c r="A5" s="186">
        <v>2</v>
      </c>
      <c r="B5" s="175" t="s">
        <v>318</v>
      </c>
      <c r="C5" s="189" t="s">
        <v>319</v>
      </c>
      <c r="D5" s="176">
        <v>0</v>
      </c>
      <c r="E5" s="177" t="s">
        <v>156</v>
      </c>
      <c r="F5" s="178">
        <v>2614</v>
      </c>
      <c r="G5" s="179">
        <v>596000</v>
      </c>
      <c r="H5" s="179">
        <v>245520000</v>
      </c>
      <c r="I5" s="180">
        <v>1557940000</v>
      </c>
      <c r="J5" s="190" t="s">
        <v>322</v>
      </c>
    </row>
    <row r="6" spans="1:10" s="172" customFormat="1" ht="36" customHeight="1">
      <c r="A6" s="186">
        <v>3</v>
      </c>
      <c r="B6" s="175" t="s">
        <v>318</v>
      </c>
      <c r="C6" s="189" t="s">
        <v>320</v>
      </c>
      <c r="D6" s="176">
        <v>0</v>
      </c>
      <c r="E6" s="177" t="s">
        <v>156</v>
      </c>
      <c r="F6" s="178">
        <v>3264</v>
      </c>
      <c r="G6" s="179">
        <v>533000</v>
      </c>
      <c r="H6" s="179">
        <v>245520000</v>
      </c>
      <c r="I6" s="180">
        <v>1739710000</v>
      </c>
      <c r="J6" s="190" t="s">
        <v>322</v>
      </c>
    </row>
    <row r="7" spans="1:10" s="171" customFormat="1" ht="36" customHeight="1" thickBot="1">
      <c r="A7" s="182"/>
      <c r="B7" s="308" t="s">
        <v>9</v>
      </c>
      <c r="C7" s="308"/>
      <c r="D7" s="183"/>
      <c r="E7" s="183"/>
      <c r="F7" s="370">
        <f>SUM(F4:F6)</f>
        <v>9234.5</v>
      </c>
      <c r="G7" s="187"/>
      <c r="H7" s="188">
        <f>SUM(H4:H6)</f>
        <v>749270000</v>
      </c>
      <c r="I7" s="184">
        <f>SUM(I4:I6)</f>
        <v>9574310000</v>
      </c>
      <c r="J7" s="185"/>
    </row>
  </sheetData>
  <autoFilter ref="A3:J3" xr:uid="{00000000-0009-0000-0000-000005000000}"/>
  <mergeCells count="8">
    <mergeCell ref="J2:J3"/>
    <mergeCell ref="E2:E3"/>
    <mergeCell ref="G2:I2"/>
    <mergeCell ref="B7:C7"/>
    <mergeCell ref="A2:A3"/>
    <mergeCell ref="B2:B3"/>
    <mergeCell ref="C2:C3"/>
    <mergeCell ref="F2:F3"/>
  </mergeCells>
  <phoneticPr fontId="3" type="noConversion"/>
  <printOptions horizontalCentered="1" gridLines="1"/>
  <pageMargins left="0.19685039370078741" right="0.19685039370078741" top="2.1653543307086616" bottom="0.98425196850393704" header="1.3779527559055118" footer="0.31496062992125984"/>
  <pageSetup paperSize="9" scale="84" orientation="portrait" useFirstPageNumber="1" r:id="rId1"/>
  <headerFooter scaleWithDoc="0">
    <oddHeader>&amp;C&amp;"나눔스퀘어라운드 Regular,굵게"&amp;26&amp;U토 지 평 가 조 서&amp;R
&amp;"나눔스퀘어라운드 Regular,보통"페이지 : 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V19"/>
  <sheetViews>
    <sheetView view="pageBreakPreview" zoomScale="90" zoomScaleNormal="100" workbookViewId="0">
      <pane ySplit="2" topLeftCell="A3" activePane="bottomLeft" state="frozen"/>
      <selection activeCell="J5" sqref="J5"/>
      <selection pane="bottomLeft" activeCell="J5" sqref="J5"/>
    </sheetView>
  </sheetViews>
  <sheetFormatPr defaultRowHeight="28.5" customHeight="1"/>
  <cols>
    <col min="1" max="1" width="5.5703125" style="1" customWidth="1"/>
    <col min="2" max="2" width="10.7109375" style="1" customWidth="1"/>
    <col min="3" max="3" width="10.7109375" style="4" customWidth="1"/>
    <col min="4" max="4" width="7.7109375" style="1" customWidth="1"/>
    <col min="5" max="5" width="6.7109375" style="1" customWidth="1"/>
    <col min="6" max="7" width="10.7109375" style="1" customWidth="1"/>
    <col min="8" max="17" width="7.28515625" style="1" customWidth="1"/>
    <col min="18" max="19" width="11.42578125" style="1" customWidth="1"/>
    <col min="20" max="20" width="6" style="1" bestFit="1" customWidth="1"/>
    <col min="21" max="21" width="9.140625" style="1"/>
    <col min="22" max="22" width="9.7109375" style="1" bestFit="1" customWidth="1"/>
    <col min="23" max="16384" width="9.140625" style="1"/>
  </cols>
  <sheetData>
    <row r="1" spans="1:22" s="52" customFormat="1" ht="21.95" customHeight="1">
      <c r="A1" s="316" t="s">
        <v>54</v>
      </c>
      <c r="B1" s="318" t="s">
        <v>55</v>
      </c>
      <c r="C1" s="318" t="s">
        <v>72</v>
      </c>
      <c r="D1" s="318" t="s">
        <v>56</v>
      </c>
      <c r="E1" s="318" t="s">
        <v>57</v>
      </c>
      <c r="F1" s="318"/>
      <c r="G1" s="318" t="s">
        <v>58</v>
      </c>
      <c r="H1" s="320" t="s">
        <v>59</v>
      </c>
      <c r="I1" s="318" t="s">
        <v>60</v>
      </c>
      <c r="J1" s="318"/>
      <c r="K1" s="318"/>
      <c r="L1" s="318"/>
      <c r="M1" s="318"/>
      <c r="N1" s="318"/>
      <c r="O1" s="318"/>
      <c r="P1" s="318"/>
      <c r="Q1" s="320" t="s">
        <v>61</v>
      </c>
      <c r="R1" s="320" t="s">
        <v>62</v>
      </c>
      <c r="S1" s="320" t="s">
        <v>63</v>
      </c>
      <c r="T1" s="314" t="s">
        <v>64</v>
      </c>
    </row>
    <row r="2" spans="1:22" s="52" customFormat="1" ht="30" customHeight="1">
      <c r="A2" s="317"/>
      <c r="B2" s="319"/>
      <c r="C2" s="319"/>
      <c r="D2" s="319"/>
      <c r="E2" s="99" t="s">
        <v>65</v>
      </c>
      <c r="F2" s="100" t="s">
        <v>36</v>
      </c>
      <c r="G2" s="319"/>
      <c r="H2" s="321"/>
      <c r="I2" s="100" t="s">
        <v>66</v>
      </c>
      <c r="J2" s="99" t="s">
        <v>67</v>
      </c>
      <c r="K2" s="100" t="s">
        <v>82</v>
      </c>
      <c r="L2" s="100" t="s">
        <v>83</v>
      </c>
      <c r="M2" s="100" t="s">
        <v>68</v>
      </c>
      <c r="N2" s="99" t="s">
        <v>69</v>
      </c>
      <c r="O2" s="99" t="s">
        <v>70</v>
      </c>
      <c r="P2" s="100" t="s">
        <v>71</v>
      </c>
      <c r="Q2" s="321"/>
      <c r="R2" s="321"/>
      <c r="S2" s="321"/>
      <c r="T2" s="315"/>
    </row>
    <row r="3" spans="1:22" ht="24.95" customHeight="1">
      <c r="A3" s="53">
        <v>1</v>
      </c>
      <c r="B3" s="68" t="s">
        <v>73</v>
      </c>
      <c r="C3" s="69">
        <v>786</v>
      </c>
      <c r="D3" s="68" t="s">
        <v>79</v>
      </c>
      <c r="E3" s="70" t="s">
        <v>41</v>
      </c>
      <c r="F3" s="71">
        <v>5600</v>
      </c>
      <c r="G3" s="72">
        <v>1.01166</v>
      </c>
      <c r="H3" s="73">
        <v>1</v>
      </c>
      <c r="I3" s="74">
        <v>1</v>
      </c>
      <c r="J3" s="74">
        <v>1</v>
      </c>
      <c r="K3" s="74">
        <v>1</v>
      </c>
      <c r="L3" s="74">
        <v>1</v>
      </c>
      <c r="M3" s="74">
        <v>1</v>
      </c>
      <c r="N3" s="74">
        <v>1</v>
      </c>
      <c r="O3" s="74">
        <v>1</v>
      </c>
      <c r="P3" s="67">
        <f>ROUND(PRODUCT(I3:O3),3)</f>
        <v>1</v>
      </c>
      <c r="Q3" s="75">
        <v>2.8</v>
      </c>
      <c r="R3" s="71">
        <f>ROUNDDOWN(F3*G3*H3*P3*Q3,0)</f>
        <v>15862</v>
      </c>
      <c r="S3" s="71">
        <f>IF(R3&lt;100000,ROUND(R3,-2),ROUND(R3,-3))</f>
        <v>15900</v>
      </c>
      <c r="T3" s="54"/>
      <c r="V3" s="55"/>
    </row>
    <row r="4" spans="1:22" ht="24.95" customHeight="1">
      <c r="A4" s="2">
        <v>3</v>
      </c>
      <c r="B4" s="56" t="s">
        <v>74</v>
      </c>
      <c r="C4" s="65">
        <v>788</v>
      </c>
      <c r="D4" s="56" t="s">
        <v>79</v>
      </c>
      <c r="E4" s="58" t="s">
        <v>85</v>
      </c>
      <c r="F4" s="42">
        <v>5600</v>
      </c>
      <c r="G4" s="26">
        <v>1.01166</v>
      </c>
      <c r="H4" s="27">
        <v>1</v>
      </c>
      <c r="I4" s="47">
        <v>1</v>
      </c>
      <c r="J4" s="47">
        <v>1</v>
      </c>
      <c r="K4" s="47">
        <v>1</v>
      </c>
      <c r="L4" s="47">
        <v>1</v>
      </c>
      <c r="M4" s="47">
        <v>1</v>
      </c>
      <c r="N4" s="47">
        <v>1</v>
      </c>
      <c r="O4" s="47">
        <v>1</v>
      </c>
      <c r="P4" s="59">
        <f t="shared" ref="P4:P19" si="0">ROUND(PRODUCT(I4:O4),3)</f>
        <v>1</v>
      </c>
      <c r="Q4" s="60">
        <v>2.8</v>
      </c>
      <c r="R4" s="42">
        <f>ROUNDDOWN(F4*G4*H4*P4*Q4,0)</f>
        <v>15862</v>
      </c>
      <c r="S4" s="42">
        <f t="shared" ref="S4:S19" si="1">IF(R4&lt;100000,ROUND(R4,-2),ROUND(R4,-3))</f>
        <v>15900</v>
      </c>
      <c r="T4" s="49"/>
      <c r="V4" s="55"/>
    </row>
    <row r="5" spans="1:22" ht="24.95" customHeight="1">
      <c r="A5" s="2">
        <v>5</v>
      </c>
      <c r="B5" s="56" t="s">
        <v>74</v>
      </c>
      <c r="C5" s="65">
        <v>784</v>
      </c>
      <c r="D5" s="56" t="s">
        <v>79</v>
      </c>
      <c r="E5" s="58" t="s">
        <v>85</v>
      </c>
      <c r="F5" s="42">
        <v>5600</v>
      </c>
      <c r="G5" s="26">
        <v>1.01166</v>
      </c>
      <c r="H5" s="27">
        <v>1</v>
      </c>
      <c r="I5" s="47">
        <v>1</v>
      </c>
      <c r="J5" s="47">
        <v>1</v>
      </c>
      <c r="K5" s="47">
        <v>1</v>
      </c>
      <c r="L5" s="47">
        <v>1</v>
      </c>
      <c r="M5" s="47">
        <v>1</v>
      </c>
      <c r="N5" s="47">
        <v>1</v>
      </c>
      <c r="O5" s="47">
        <v>1</v>
      </c>
      <c r="P5" s="59">
        <f t="shared" si="0"/>
        <v>1</v>
      </c>
      <c r="Q5" s="60">
        <v>2.8</v>
      </c>
      <c r="R5" s="42">
        <f t="shared" ref="R5:R10" si="2">ROUNDDOWN(F5*G5*H5*P5*Q5,0)</f>
        <v>15862</v>
      </c>
      <c r="S5" s="42">
        <f t="shared" si="1"/>
        <v>15900</v>
      </c>
      <c r="T5" s="49"/>
      <c r="V5" s="55"/>
    </row>
    <row r="6" spans="1:22" ht="24.95" customHeight="1">
      <c r="A6" s="2">
        <v>6</v>
      </c>
      <c r="B6" s="56" t="s">
        <v>74</v>
      </c>
      <c r="C6" s="65">
        <v>791</v>
      </c>
      <c r="D6" s="56" t="s">
        <v>79</v>
      </c>
      <c r="E6" s="58" t="s">
        <v>85</v>
      </c>
      <c r="F6" s="42">
        <v>5600</v>
      </c>
      <c r="G6" s="26">
        <v>1.01166</v>
      </c>
      <c r="H6" s="27">
        <v>1</v>
      </c>
      <c r="I6" s="47">
        <v>1</v>
      </c>
      <c r="J6" s="47">
        <v>1</v>
      </c>
      <c r="K6" s="47">
        <v>1</v>
      </c>
      <c r="L6" s="47">
        <v>1</v>
      </c>
      <c r="M6" s="47">
        <v>1</v>
      </c>
      <c r="N6" s="47">
        <v>1</v>
      </c>
      <c r="O6" s="47">
        <v>1</v>
      </c>
      <c r="P6" s="59">
        <f t="shared" si="0"/>
        <v>1</v>
      </c>
      <c r="Q6" s="60">
        <v>2.8</v>
      </c>
      <c r="R6" s="42">
        <f t="shared" si="2"/>
        <v>15862</v>
      </c>
      <c r="S6" s="42">
        <f t="shared" si="1"/>
        <v>15900</v>
      </c>
      <c r="T6" s="49"/>
      <c r="V6" s="55"/>
    </row>
    <row r="7" spans="1:22" ht="24.95" customHeight="1">
      <c r="A7" s="2">
        <v>7</v>
      </c>
      <c r="B7" s="56" t="s">
        <v>74</v>
      </c>
      <c r="C7" s="65">
        <v>792</v>
      </c>
      <c r="D7" s="56" t="s">
        <v>79</v>
      </c>
      <c r="E7" s="58" t="s">
        <v>85</v>
      </c>
      <c r="F7" s="42">
        <v>5600</v>
      </c>
      <c r="G7" s="26">
        <v>1.01166</v>
      </c>
      <c r="H7" s="27">
        <v>1</v>
      </c>
      <c r="I7" s="47">
        <v>1</v>
      </c>
      <c r="J7" s="47">
        <v>1</v>
      </c>
      <c r="K7" s="47">
        <v>1</v>
      </c>
      <c r="L7" s="47">
        <v>1</v>
      </c>
      <c r="M7" s="47">
        <v>1</v>
      </c>
      <c r="N7" s="47">
        <v>1</v>
      </c>
      <c r="O7" s="47">
        <v>1</v>
      </c>
      <c r="P7" s="59">
        <f t="shared" si="0"/>
        <v>1</v>
      </c>
      <c r="Q7" s="60">
        <v>2.8</v>
      </c>
      <c r="R7" s="42">
        <f t="shared" si="2"/>
        <v>15862</v>
      </c>
      <c r="S7" s="42">
        <f t="shared" si="1"/>
        <v>15900</v>
      </c>
      <c r="T7" s="49"/>
      <c r="V7" s="55"/>
    </row>
    <row r="8" spans="1:22" ht="24.95" customHeight="1">
      <c r="A8" s="2">
        <v>8</v>
      </c>
      <c r="B8" s="56" t="s">
        <v>74</v>
      </c>
      <c r="C8" s="57" t="s">
        <v>75</v>
      </c>
      <c r="D8" s="56" t="s">
        <v>80</v>
      </c>
      <c r="E8" s="58" t="s">
        <v>86</v>
      </c>
      <c r="F8" s="42">
        <v>340</v>
      </c>
      <c r="G8" s="26">
        <v>1.01166</v>
      </c>
      <c r="H8" s="27">
        <v>1</v>
      </c>
      <c r="I8" s="47">
        <v>1</v>
      </c>
      <c r="J8" s="47">
        <v>1</v>
      </c>
      <c r="K8" s="47">
        <v>1</v>
      </c>
      <c r="L8" s="47">
        <v>1</v>
      </c>
      <c r="M8" s="47">
        <v>1</v>
      </c>
      <c r="N8" s="47">
        <v>1</v>
      </c>
      <c r="O8" s="47">
        <v>1</v>
      </c>
      <c r="P8" s="59">
        <f t="shared" si="0"/>
        <v>1</v>
      </c>
      <c r="Q8" s="60">
        <v>4.7</v>
      </c>
      <c r="R8" s="42">
        <f t="shared" si="2"/>
        <v>1616</v>
      </c>
      <c r="S8" s="42">
        <f t="shared" si="1"/>
        <v>1600</v>
      </c>
      <c r="T8" s="49"/>
      <c r="V8" s="55"/>
    </row>
    <row r="9" spans="1:22" ht="24.95" customHeight="1">
      <c r="A9" s="2">
        <v>10</v>
      </c>
      <c r="B9" s="56" t="s">
        <v>74</v>
      </c>
      <c r="C9" s="65">
        <v>803</v>
      </c>
      <c r="D9" s="56" t="s">
        <v>79</v>
      </c>
      <c r="E9" s="58" t="s">
        <v>85</v>
      </c>
      <c r="F9" s="42">
        <v>5600</v>
      </c>
      <c r="G9" s="26">
        <v>1.01166</v>
      </c>
      <c r="H9" s="27">
        <v>1</v>
      </c>
      <c r="I9" s="47">
        <v>1</v>
      </c>
      <c r="J9" s="47">
        <v>1</v>
      </c>
      <c r="K9" s="47">
        <v>1</v>
      </c>
      <c r="L9" s="47">
        <v>1</v>
      </c>
      <c r="M9" s="47">
        <v>1</v>
      </c>
      <c r="N9" s="47">
        <v>1</v>
      </c>
      <c r="O9" s="47">
        <v>1</v>
      </c>
      <c r="P9" s="59">
        <f t="shared" si="0"/>
        <v>1</v>
      </c>
      <c r="Q9" s="60">
        <v>2.8</v>
      </c>
      <c r="R9" s="42">
        <f t="shared" si="2"/>
        <v>15862</v>
      </c>
      <c r="S9" s="42">
        <f t="shared" si="1"/>
        <v>15900</v>
      </c>
      <c r="T9" s="49"/>
      <c r="V9" s="55"/>
    </row>
    <row r="10" spans="1:22" ht="24.95" customHeight="1">
      <c r="A10" s="2">
        <v>11</v>
      </c>
      <c r="B10" s="56" t="s">
        <v>74</v>
      </c>
      <c r="C10" s="57" t="s">
        <v>76</v>
      </c>
      <c r="D10" s="56" t="s">
        <v>80</v>
      </c>
      <c r="E10" s="58" t="s">
        <v>84</v>
      </c>
      <c r="F10" s="42">
        <v>340</v>
      </c>
      <c r="G10" s="26">
        <v>1.01166</v>
      </c>
      <c r="H10" s="27">
        <v>1</v>
      </c>
      <c r="I10" s="47">
        <v>1</v>
      </c>
      <c r="J10" s="47">
        <v>1</v>
      </c>
      <c r="K10" s="47">
        <v>1</v>
      </c>
      <c r="L10" s="47">
        <v>1</v>
      </c>
      <c r="M10" s="47">
        <v>1</v>
      </c>
      <c r="N10" s="47">
        <v>1</v>
      </c>
      <c r="O10" s="47">
        <v>1</v>
      </c>
      <c r="P10" s="59">
        <f t="shared" si="0"/>
        <v>1</v>
      </c>
      <c r="Q10" s="60">
        <v>4.7</v>
      </c>
      <c r="R10" s="42">
        <f t="shared" si="2"/>
        <v>1616</v>
      </c>
      <c r="S10" s="42">
        <f t="shared" si="1"/>
        <v>1600</v>
      </c>
      <c r="T10" s="49"/>
      <c r="V10" s="55"/>
    </row>
    <row r="11" spans="1:22" ht="24.95" customHeight="1">
      <c r="A11" s="2">
        <v>12</v>
      </c>
      <c r="B11" s="56" t="s">
        <v>74</v>
      </c>
      <c r="C11" s="65">
        <v>807</v>
      </c>
      <c r="D11" s="56" t="s">
        <v>79</v>
      </c>
      <c r="E11" s="58" t="s">
        <v>87</v>
      </c>
      <c r="F11" s="42">
        <v>1300</v>
      </c>
      <c r="G11" s="26">
        <v>1.0104299999999999</v>
      </c>
      <c r="H11" s="27">
        <v>1</v>
      </c>
      <c r="I11" s="47">
        <v>1</v>
      </c>
      <c r="J11" s="47">
        <v>1</v>
      </c>
      <c r="K11" s="47">
        <v>1</v>
      </c>
      <c r="L11" s="47">
        <v>1</v>
      </c>
      <c r="M11" s="47">
        <v>1</v>
      </c>
      <c r="N11" s="47">
        <v>1</v>
      </c>
      <c r="O11" s="47">
        <v>1</v>
      </c>
      <c r="P11" s="59">
        <f t="shared" si="0"/>
        <v>1</v>
      </c>
      <c r="Q11" s="60">
        <v>4.95</v>
      </c>
      <c r="R11" s="42">
        <f t="shared" ref="R11:R17" si="3">ROUNDDOWN(F11*G11*H11*P11*Q11,0)</f>
        <v>6502</v>
      </c>
      <c r="S11" s="42">
        <f t="shared" si="1"/>
        <v>6500</v>
      </c>
      <c r="T11" s="49"/>
      <c r="V11" s="55"/>
    </row>
    <row r="12" spans="1:22" ht="24.95" customHeight="1">
      <c r="A12" s="2">
        <v>13</v>
      </c>
      <c r="B12" s="56" t="s">
        <v>74</v>
      </c>
      <c r="C12" s="65">
        <v>808</v>
      </c>
      <c r="D12" s="56" t="s">
        <v>79</v>
      </c>
      <c r="E12" s="58" t="s">
        <v>87</v>
      </c>
      <c r="F12" s="42">
        <v>1300</v>
      </c>
      <c r="G12" s="26">
        <v>1.0104299999999999</v>
      </c>
      <c r="H12" s="27">
        <v>1</v>
      </c>
      <c r="I12" s="47">
        <v>1</v>
      </c>
      <c r="J12" s="47">
        <v>1</v>
      </c>
      <c r="K12" s="47">
        <v>1</v>
      </c>
      <c r="L12" s="47">
        <v>1</v>
      </c>
      <c r="M12" s="47">
        <v>1</v>
      </c>
      <c r="N12" s="47">
        <v>1</v>
      </c>
      <c r="O12" s="47">
        <v>1</v>
      </c>
      <c r="P12" s="59">
        <f t="shared" si="0"/>
        <v>1</v>
      </c>
      <c r="Q12" s="60">
        <v>4.95</v>
      </c>
      <c r="R12" s="42">
        <f t="shared" si="3"/>
        <v>6502</v>
      </c>
      <c r="S12" s="42">
        <f t="shared" si="1"/>
        <v>6500</v>
      </c>
      <c r="T12" s="49"/>
      <c r="V12" s="55"/>
    </row>
    <row r="13" spans="1:22" ht="24.95" customHeight="1">
      <c r="A13" s="2">
        <v>14</v>
      </c>
      <c r="B13" s="56" t="s">
        <v>74</v>
      </c>
      <c r="C13" s="65">
        <v>818</v>
      </c>
      <c r="D13" s="56" t="s">
        <v>79</v>
      </c>
      <c r="E13" s="58" t="s">
        <v>87</v>
      </c>
      <c r="F13" s="42">
        <v>1300</v>
      </c>
      <c r="G13" s="26">
        <v>1.0104299999999999</v>
      </c>
      <c r="H13" s="27">
        <v>1</v>
      </c>
      <c r="I13" s="47">
        <v>1</v>
      </c>
      <c r="J13" s="47">
        <v>1</v>
      </c>
      <c r="K13" s="47">
        <v>1</v>
      </c>
      <c r="L13" s="47">
        <v>1</v>
      </c>
      <c r="M13" s="47">
        <v>1</v>
      </c>
      <c r="N13" s="47">
        <v>1</v>
      </c>
      <c r="O13" s="47">
        <v>1</v>
      </c>
      <c r="P13" s="59">
        <f t="shared" si="0"/>
        <v>1</v>
      </c>
      <c r="Q13" s="60">
        <v>4.95</v>
      </c>
      <c r="R13" s="42">
        <f t="shared" si="3"/>
        <v>6502</v>
      </c>
      <c r="S13" s="42">
        <f t="shared" si="1"/>
        <v>6500</v>
      </c>
      <c r="T13" s="49"/>
      <c r="V13" s="55"/>
    </row>
    <row r="14" spans="1:22" ht="24.95" customHeight="1">
      <c r="A14" s="2">
        <v>15</v>
      </c>
      <c r="B14" s="56" t="s">
        <v>74</v>
      </c>
      <c r="C14" s="57" t="s">
        <v>77</v>
      </c>
      <c r="D14" s="56" t="s">
        <v>79</v>
      </c>
      <c r="E14" s="58" t="s">
        <v>87</v>
      </c>
      <c r="F14" s="42">
        <v>1300</v>
      </c>
      <c r="G14" s="26">
        <v>1.0104299999999999</v>
      </c>
      <c r="H14" s="27">
        <v>1</v>
      </c>
      <c r="I14" s="47">
        <v>1</v>
      </c>
      <c r="J14" s="47">
        <v>1</v>
      </c>
      <c r="K14" s="47">
        <v>1</v>
      </c>
      <c r="L14" s="47">
        <v>1</v>
      </c>
      <c r="M14" s="47">
        <v>1</v>
      </c>
      <c r="N14" s="47">
        <v>1</v>
      </c>
      <c r="O14" s="47">
        <v>1</v>
      </c>
      <c r="P14" s="59">
        <f t="shared" si="0"/>
        <v>1</v>
      </c>
      <c r="Q14" s="60">
        <v>4.95</v>
      </c>
      <c r="R14" s="42">
        <f t="shared" si="3"/>
        <v>6502</v>
      </c>
      <c r="S14" s="42">
        <f t="shared" si="1"/>
        <v>6500</v>
      </c>
      <c r="T14" s="49"/>
      <c r="V14" s="55"/>
    </row>
    <row r="15" spans="1:22" ht="24.95" customHeight="1">
      <c r="A15" s="2">
        <v>16</v>
      </c>
      <c r="B15" s="56" t="s">
        <v>74</v>
      </c>
      <c r="C15" s="57" t="s">
        <v>78</v>
      </c>
      <c r="D15" s="56" t="s">
        <v>80</v>
      </c>
      <c r="E15" s="58" t="s">
        <v>88</v>
      </c>
      <c r="F15" s="42">
        <v>500</v>
      </c>
      <c r="G15" s="26">
        <v>1.0104299999999999</v>
      </c>
      <c r="H15" s="27">
        <v>1</v>
      </c>
      <c r="I15" s="47">
        <v>1</v>
      </c>
      <c r="J15" s="47">
        <v>1</v>
      </c>
      <c r="K15" s="47">
        <v>1</v>
      </c>
      <c r="L15" s="47">
        <v>1</v>
      </c>
      <c r="M15" s="47">
        <v>1</v>
      </c>
      <c r="N15" s="47">
        <v>1</v>
      </c>
      <c r="O15" s="47">
        <v>1</v>
      </c>
      <c r="P15" s="59">
        <f t="shared" si="0"/>
        <v>1</v>
      </c>
      <c r="Q15" s="60">
        <v>4</v>
      </c>
      <c r="R15" s="42">
        <f t="shared" si="3"/>
        <v>2020</v>
      </c>
      <c r="S15" s="42">
        <f t="shared" si="1"/>
        <v>2000</v>
      </c>
      <c r="T15" s="49"/>
      <c r="V15" s="55"/>
    </row>
    <row r="16" spans="1:22" ht="24.95" customHeight="1">
      <c r="A16" s="2">
        <v>17</v>
      </c>
      <c r="B16" s="56" t="s">
        <v>74</v>
      </c>
      <c r="C16" s="65">
        <v>817</v>
      </c>
      <c r="D16" s="56" t="s">
        <v>81</v>
      </c>
      <c r="E16" s="58" t="s">
        <v>87</v>
      </c>
      <c r="F16" s="42">
        <v>1300</v>
      </c>
      <c r="G16" s="26">
        <v>1.0104299999999999</v>
      </c>
      <c r="H16" s="27">
        <v>1</v>
      </c>
      <c r="I16" s="4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59">
        <f t="shared" si="0"/>
        <v>1</v>
      </c>
      <c r="Q16" s="60">
        <v>4.95</v>
      </c>
      <c r="R16" s="42">
        <f t="shared" si="3"/>
        <v>6502</v>
      </c>
      <c r="S16" s="42">
        <f t="shared" si="1"/>
        <v>6500</v>
      </c>
      <c r="T16" s="49"/>
      <c r="V16" s="55"/>
    </row>
    <row r="17" spans="1:22" ht="24.95" customHeight="1">
      <c r="A17" s="2">
        <v>18</v>
      </c>
      <c r="B17" s="56" t="s">
        <v>74</v>
      </c>
      <c r="C17" s="65">
        <v>816</v>
      </c>
      <c r="D17" s="56" t="s">
        <v>81</v>
      </c>
      <c r="E17" s="58" t="s">
        <v>87</v>
      </c>
      <c r="F17" s="42">
        <v>1300</v>
      </c>
      <c r="G17" s="26">
        <v>1.0104299999999999</v>
      </c>
      <c r="H17" s="27">
        <v>1</v>
      </c>
      <c r="I17" s="4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59">
        <f t="shared" si="0"/>
        <v>1</v>
      </c>
      <c r="Q17" s="60">
        <v>4.95</v>
      </c>
      <c r="R17" s="42">
        <f t="shared" si="3"/>
        <v>6502</v>
      </c>
      <c r="S17" s="42">
        <f t="shared" si="1"/>
        <v>6500</v>
      </c>
      <c r="T17" s="49"/>
      <c r="V17" s="55"/>
    </row>
    <row r="18" spans="1:22" ht="24.95" customHeight="1">
      <c r="A18" s="2">
        <v>19</v>
      </c>
      <c r="B18" s="56" t="s">
        <v>74</v>
      </c>
      <c r="C18" s="65">
        <v>815</v>
      </c>
      <c r="D18" s="56" t="s">
        <v>79</v>
      </c>
      <c r="E18" s="58" t="s">
        <v>87</v>
      </c>
      <c r="F18" s="42">
        <v>1300</v>
      </c>
      <c r="G18" s="26">
        <v>1.0104299999999999</v>
      </c>
      <c r="H18" s="27">
        <v>1</v>
      </c>
      <c r="I18" s="4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59">
        <f t="shared" si="0"/>
        <v>1</v>
      </c>
      <c r="Q18" s="60">
        <v>4.95</v>
      </c>
      <c r="R18" s="42">
        <f>ROUNDDOWN(F18*G18*H18*P18*Q18,0)</f>
        <v>6502</v>
      </c>
      <c r="S18" s="42">
        <f t="shared" si="1"/>
        <v>6500</v>
      </c>
      <c r="T18" s="49"/>
      <c r="V18" s="55"/>
    </row>
    <row r="19" spans="1:22" ht="24.95" customHeight="1">
      <c r="A19" s="3">
        <v>20</v>
      </c>
      <c r="B19" s="61" t="s">
        <v>74</v>
      </c>
      <c r="C19" s="66">
        <v>814</v>
      </c>
      <c r="D19" s="61" t="s">
        <v>79</v>
      </c>
      <c r="E19" s="62" t="s">
        <v>87</v>
      </c>
      <c r="F19" s="43">
        <v>1300</v>
      </c>
      <c r="G19" s="29">
        <v>1.0104299999999999</v>
      </c>
      <c r="H19" s="30">
        <v>1</v>
      </c>
      <c r="I19" s="48">
        <v>1</v>
      </c>
      <c r="J19" s="48">
        <v>1</v>
      </c>
      <c r="K19" s="48">
        <v>1</v>
      </c>
      <c r="L19" s="48">
        <v>1</v>
      </c>
      <c r="M19" s="48">
        <v>1</v>
      </c>
      <c r="N19" s="48">
        <v>1</v>
      </c>
      <c r="O19" s="48">
        <v>1</v>
      </c>
      <c r="P19" s="63">
        <f t="shared" si="0"/>
        <v>1</v>
      </c>
      <c r="Q19" s="64">
        <v>4.95</v>
      </c>
      <c r="R19" s="43">
        <f>ROUNDDOWN(F19*G19*H19*P19*Q19,0)</f>
        <v>6502</v>
      </c>
      <c r="S19" s="43">
        <f t="shared" si="1"/>
        <v>6500</v>
      </c>
      <c r="T19" s="50"/>
      <c r="V19" s="55"/>
    </row>
  </sheetData>
  <autoFilter ref="A2:V19" xr:uid="{00000000-0009-0000-0000-00000A000000}"/>
  <mergeCells count="12">
    <mergeCell ref="T1:T2"/>
    <mergeCell ref="A1:A2"/>
    <mergeCell ref="B1:B2"/>
    <mergeCell ref="D1:D2"/>
    <mergeCell ref="E1:F1"/>
    <mergeCell ref="G1:G2"/>
    <mergeCell ref="C1:C2"/>
    <mergeCell ref="H1:H2"/>
    <mergeCell ref="I1:P1"/>
    <mergeCell ref="Q1:Q2"/>
    <mergeCell ref="R1:R2"/>
    <mergeCell ref="S1:S2"/>
  </mergeCells>
  <phoneticPr fontId="3" type="noConversion"/>
  <printOptions gridLines="1"/>
  <pageMargins left="1.3779527559055118" right="0.98425196850393704" top="1.3779527559055118" bottom="0.59055118110236227" header="0.59055118110236227" footer="0.31496062992125984"/>
  <pageSetup paperSize="9" scale="80" fitToHeight="0" orientation="landscape" useFirstPageNumber="1" r:id="rId1"/>
  <headerFooter scaleWithDoc="0">
    <oddHeader xml:space="preserve">&amp;C&amp;"굴림체,굵게"&amp;18&amp;U대상토지가격 산출 및 결정&amp;R
페이지 : &amp;P&amp;K00+000    . &amp;K000000        </oddHeader>
  </headerFooter>
  <ignoredErrors>
    <ignoredError sqref="P3:P19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W19"/>
  <sheetViews>
    <sheetView view="pageBreakPreview" zoomScale="90" zoomScaleNormal="100" workbookViewId="0">
      <pane ySplit="2" topLeftCell="A3" activePane="bottomLeft" state="frozen"/>
      <selection activeCell="J5" sqref="J5"/>
      <selection pane="bottomLeft" activeCell="J5" sqref="J5"/>
    </sheetView>
  </sheetViews>
  <sheetFormatPr defaultRowHeight="28.5" customHeight="1"/>
  <cols>
    <col min="1" max="1" width="5.5703125" style="1" customWidth="1"/>
    <col min="2" max="2" width="10.7109375" style="1" customWidth="1"/>
    <col min="3" max="4" width="10.140625" style="4" customWidth="1"/>
    <col min="5" max="5" width="7.7109375" style="1" customWidth="1"/>
    <col min="6" max="6" width="6.7109375" style="1" customWidth="1"/>
    <col min="7" max="8" width="10.7109375" style="1" customWidth="1"/>
    <col min="9" max="16" width="7.28515625" style="1" customWidth="1"/>
    <col min="17" max="17" width="8.28515625" style="1" customWidth="1"/>
    <col min="18" max="18" width="7.28515625" style="1" customWidth="1"/>
    <col min="19" max="20" width="11.42578125" style="1" customWidth="1"/>
    <col min="21" max="21" width="6" style="1" bestFit="1" customWidth="1"/>
    <col min="22" max="22" width="9.140625" style="1"/>
    <col min="23" max="23" width="9.7109375" style="1" bestFit="1" customWidth="1"/>
    <col min="24" max="16384" width="9.140625" style="1"/>
  </cols>
  <sheetData>
    <row r="1" spans="1:23" s="52" customFormat="1" ht="21.95" customHeight="1">
      <c r="A1" s="316" t="s">
        <v>0</v>
      </c>
      <c r="B1" s="318" t="s">
        <v>42</v>
      </c>
      <c r="C1" s="322" t="s">
        <v>3</v>
      </c>
      <c r="D1" s="323"/>
      <c r="E1" s="318" t="s">
        <v>43</v>
      </c>
      <c r="F1" s="318" t="s">
        <v>46</v>
      </c>
      <c r="G1" s="318"/>
      <c r="H1" s="318" t="s">
        <v>44</v>
      </c>
      <c r="I1" s="320" t="s">
        <v>47</v>
      </c>
      <c r="J1" s="318" t="s">
        <v>60</v>
      </c>
      <c r="K1" s="318"/>
      <c r="L1" s="318"/>
      <c r="M1" s="318"/>
      <c r="N1" s="318"/>
      <c r="O1" s="318"/>
      <c r="P1" s="318"/>
      <c r="Q1" s="318"/>
      <c r="R1" s="320" t="s">
        <v>48</v>
      </c>
      <c r="S1" s="320" t="s">
        <v>62</v>
      </c>
      <c r="T1" s="320" t="s">
        <v>49</v>
      </c>
      <c r="U1" s="314" t="s">
        <v>37</v>
      </c>
    </row>
    <row r="2" spans="1:23" s="52" customFormat="1" ht="30" customHeight="1">
      <c r="A2" s="317"/>
      <c r="B2" s="319"/>
      <c r="C2" s="101" t="s">
        <v>153</v>
      </c>
      <c r="D2" s="101" t="s">
        <v>154</v>
      </c>
      <c r="E2" s="319"/>
      <c r="F2" s="101" t="s">
        <v>35</v>
      </c>
      <c r="G2" s="102" t="s">
        <v>36</v>
      </c>
      <c r="H2" s="319"/>
      <c r="I2" s="321"/>
      <c r="J2" s="102" t="s">
        <v>66</v>
      </c>
      <c r="K2" s="101" t="s">
        <v>67</v>
      </c>
      <c r="L2" s="102" t="s">
        <v>82</v>
      </c>
      <c r="M2" s="102" t="s">
        <v>83</v>
      </c>
      <c r="N2" s="102" t="s">
        <v>68</v>
      </c>
      <c r="O2" s="101" t="s">
        <v>69</v>
      </c>
      <c r="P2" s="101" t="s">
        <v>52</v>
      </c>
      <c r="Q2" s="102" t="s">
        <v>71</v>
      </c>
      <c r="R2" s="321"/>
      <c r="S2" s="321"/>
      <c r="T2" s="321"/>
      <c r="U2" s="315"/>
    </row>
    <row r="3" spans="1:23" ht="24.95" customHeight="1">
      <c r="A3" s="53">
        <v>1</v>
      </c>
      <c r="B3" s="68" t="s">
        <v>73</v>
      </c>
      <c r="C3" s="69">
        <v>786</v>
      </c>
      <c r="D3" s="69"/>
      <c r="E3" s="68" t="s">
        <v>79</v>
      </c>
      <c r="F3" s="70" t="s">
        <v>41</v>
      </c>
      <c r="G3" s="71">
        <v>5600</v>
      </c>
      <c r="H3" s="72">
        <v>1.01166</v>
      </c>
      <c r="I3" s="73">
        <v>1</v>
      </c>
      <c r="J3" s="74">
        <v>1</v>
      </c>
      <c r="K3" s="74">
        <v>1</v>
      </c>
      <c r="L3" s="74">
        <v>1</v>
      </c>
      <c r="M3" s="74">
        <v>1</v>
      </c>
      <c r="N3" s="74">
        <v>1</v>
      </c>
      <c r="O3" s="74">
        <v>1</v>
      </c>
      <c r="P3" s="74">
        <v>1</v>
      </c>
      <c r="Q3" s="67">
        <f>ROUND(PRODUCT(J3:P3),3)</f>
        <v>1</v>
      </c>
      <c r="R3" s="75">
        <v>2.8</v>
      </c>
      <c r="S3" s="71">
        <f>ROUNDDOWN(G3*H3*I3*Q3*R3,0)</f>
        <v>15862</v>
      </c>
      <c r="T3" s="71">
        <f>ROUND(S3,-2)</f>
        <v>15900</v>
      </c>
      <c r="U3" s="54"/>
      <c r="W3" s="55"/>
    </row>
    <row r="4" spans="1:23" ht="24.95" customHeight="1">
      <c r="A4" s="2">
        <v>3</v>
      </c>
      <c r="B4" s="56" t="s">
        <v>73</v>
      </c>
      <c r="C4" s="65">
        <v>788</v>
      </c>
      <c r="D4" s="65"/>
      <c r="E4" s="56" t="s">
        <v>79</v>
      </c>
      <c r="F4" s="58" t="s">
        <v>41</v>
      </c>
      <c r="G4" s="42">
        <v>5600</v>
      </c>
      <c r="H4" s="26">
        <v>1.01166</v>
      </c>
      <c r="I4" s="27">
        <v>1</v>
      </c>
      <c r="J4" s="47">
        <v>1</v>
      </c>
      <c r="K4" s="47">
        <v>1</v>
      </c>
      <c r="L4" s="47">
        <v>1</v>
      </c>
      <c r="M4" s="47">
        <v>1</v>
      </c>
      <c r="N4" s="47">
        <v>1</v>
      </c>
      <c r="O4" s="47">
        <v>1</v>
      </c>
      <c r="P4" s="47">
        <v>1</v>
      </c>
      <c r="Q4" s="59">
        <f t="shared" ref="Q4:Q19" si="0">ROUND(PRODUCT(J4:P4),3)</f>
        <v>1</v>
      </c>
      <c r="R4" s="60">
        <v>2.8</v>
      </c>
      <c r="S4" s="42">
        <f>ROUNDDOWN(G4*H4*I4*Q4*R4,0)</f>
        <v>15862</v>
      </c>
      <c r="T4" s="42">
        <f>ROUND(S4,-2)</f>
        <v>15900</v>
      </c>
      <c r="U4" s="49"/>
      <c r="W4" s="55"/>
    </row>
    <row r="5" spans="1:23" ht="24.95" customHeight="1">
      <c r="A5" s="2">
        <v>5</v>
      </c>
      <c r="B5" s="56" t="s">
        <v>73</v>
      </c>
      <c r="C5" s="65">
        <v>784</v>
      </c>
      <c r="D5" s="65"/>
      <c r="E5" s="56" t="s">
        <v>79</v>
      </c>
      <c r="F5" s="58" t="s">
        <v>41</v>
      </c>
      <c r="G5" s="42">
        <v>5600</v>
      </c>
      <c r="H5" s="26">
        <v>1.01166</v>
      </c>
      <c r="I5" s="27">
        <v>1</v>
      </c>
      <c r="J5" s="47">
        <v>1</v>
      </c>
      <c r="K5" s="47">
        <v>1</v>
      </c>
      <c r="L5" s="47">
        <v>1</v>
      </c>
      <c r="M5" s="47">
        <v>1</v>
      </c>
      <c r="N5" s="47">
        <v>1</v>
      </c>
      <c r="O5" s="47">
        <v>1</v>
      </c>
      <c r="P5" s="47">
        <v>1</v>
      </c>
      <c r="Q5" s="59">
        <f t="shared" si="0"/>
        <v>1</v>
      </c>
      <c r="R5" s="60">
        <v>2.8</v>
      </c>
      <c r="S5" s="42">
        <f t="shared" ref="S5:S17" si="1">ROUNDDOWN(G5*H5*I5*Q5*R5,0)</f>
        <v>15862</v>
      </c>
      <c r="T5" s="42">
        <f t="shared" ref="T5:T19" si="2">ROUND(S5,-2)</f>
        <v>15900</v>
      </c>
      <c r="U5" s="49"/>
      <c r="W5" s="55"/>
    </row>
    <row r="6" spans="1:23" ht="24.95" customHeight="1">
      <c r="A6" s="2">
        <v>6</v>
      </c>
      <c r="B6" s="56" t="s">
        <v>73</v>
      </c>
      <c r="C6" s="65">
        <v>791</v>
      </c>
      <c r="D6" s="65"/>
      <c r="E6" s="56" t="s">
        <v>79</v>
      </c>
      <c r="F6" s="58" t="s">
        <v>41</v>
      </c>
      <c r="G6" s="42">
        <v>5600</v>
      </c>
      <c r="H6" s="26">
        <v>1.01166</v>
      </c>
      <c r="I6" s="27">
        <v>1</v>
      </c>
      <c r="J6" s="47">
        <v>1</v>
      </c>
      <c r="K6" s="47">
        <v>1</v>
      </c>
      <c r="L6" s="47">
        <v>1</v>
      </c>
      <c r="M6" s="47">
        <v>1</v>
      </c>
      <c r="N6" s="47">
        <v>1</v>
      </c>
      <c r="O6" s="47">
        <v>1</v>
      </c>
      <c r="P6" s="47">
        <v>1</v>
      </c>
      <c r="Q6" s="59">
        <f t="shared" si="0"/>
        <v>1</v>
      </c>
      <c r="R6" s="60">
        <v>2.8</v>
      </c>
      <c r="S6" s="42">
        <f t="shared" si="1"/>
        <v>15862</v>
      </c>
      <c r="T6" s="42">
        <f t="shared" si="2"/>
        <v>15900</v>
      </c>
      <c r="U6" s="49"/>
      <c r="W6" s="55"/>
    </row>
    <row r="7" spans="1:23" ht="24.95" customHeight="1">
      <c r="A7" s="2">
        <v>7</v>
      </c>
      <c r="B7" s="56" t="s">
        <v>73</v>
      </c>
      <c r="C7" s="65">
        <v>792</v>
      </c>
      <c r="D7" s="65"/>
      <c r="E7" s="56" t="s">
        <v>79</v>
      </c>
      <c r="F7" s="58" t="s">
        <v>41</v>
      </c>
      <c r="G7" s="42">
        <v>5600</v>
      </c>
      <c r="H7" s="26">
        <v>1.01166</v>
      </c>
      <c r="I7" s="27">
        <v>1</v>
      </c>
      <c r="J7" s="47">
        <v>1</v>
      </c>
      <c r="K7" s="47">
        <v>1</v>
      </c>
      <c r="L7" s="47">
        <v>1</v>
      </c>
      <c r="M7" s="47">
        <v>1</v>
      </c>
      <c r="N7" s="47">
        <v>1</v>
      </c>
      <c r="O7" s="47">
        <v>1</v>
      </c>
      <c r="P7" s="47">
        <v>1</v>
      </c>
      <c r="Q7" s="59">
        <f t="shared" si="0"/>
        <v>1</v>
      </c>
      <c r="R7" s="60">
        <v>2.8</v>
      </c>
      <c r="S7" s="42">
        <f t="shared" si="1"/>
        <v>15862</v>
      </c>
      <c r="T7" s="42">
        <f t="shared" si="2"/>
        <v>15900</v>
      </c>
      <c r="U7" s="49"/>
      <c r="W7" s="55"/>
    </row>
    <row r="8" spans="1:23" ht="24.95" customHeight="1">
      <c r="A8" s="2">
        <v>8</v>
      </c>
      <c r="B8" s="56" t="s">
        <v>73</v>
      </c>
      <c r="C8" s="57" t="s">
        <v>75</v>
      </c>
      <c r="D8" s="57"/>
      <c r="E8" s="56" t="s">
        <v>80</v>
      </c>
      <c r="F8" s="58" t="s">
        <v>53</v>
      </c>
      <c r="G8" s="42">
        <v>340</v>
      </c>
      <c r="H8" s="26">
        <v>1.01166</v>
      </c>
      <c r="I8" s="27">
        <v>1</v>
      </c>
      <c r="J8" s="47">
        <v>1</v>
      </c>
      <c r="K8" s="47">
        <v>1</v>
      </c>
      <c r="L8" s="47">
        <v>1</v>
      </c>
      <c r="M8" s="47">
        <v>1</v>
      </c>
      <c r="N8" s="47">
        <v>1</v>
      </c>
      <c r="O8" s="47">
        <v>1</v>
      </c>
      <c r="P8" s="47">
        <v>1</v>
      </c>
      <c r="Q8" s="59">
        <f t="shared" si="0"/>
        <v>1</v>
      </c>
      <c r="R8" s="60">
        <v>4.7</v>
      </c>
      <c r="S8" s="42">
        <f t="shared" si="1"/>
        <v>1616</v>
      </c>
      <c r="T8" s="42">
        <f t="shared" si="2"/>
        <v>1600</v>
      </c>
      <c r="U8" s="49"/>
      <c r="W8" s="55"/>
    </row>
    <row r="9" spans="1:23" ht="24.95" customHeight="1">
      <c r="A9" s="2">
        <v>10</v>
      </c>
      <c r="B9" s="56" t="s">
        <v>73</v>
      </c>
      <c r="C9" s="65">
        <v>803</v>
      </c>
      <c r="D9" s="65"/>
      <c r="E9" s="56" t="s">
        <v>79</v>
      </c>
      <c r="F9" s="58" t="s">
        <v>41</v>
      </c>
      <c r="G9" s="42">
        <v>5600</v>
      </c>
      <c r="H9" s="26">
        <v>1.01166</v>
      </c>
      <c r="I9" s="27">
        <v>1</v>
      </c>
      <c r="J9" s="47">
        <v>1</v>
      </c>
      <c r="K9" s="47">
        <v>1</v>
      </c>
      <c r="L9" s="47">
        <v>1</v>
      </c>
      <c r="M9" s="47">
        <v>1</v>
      </c>
      <c r="N9" s="47">
        <v>1</v>
      </c>
      <c r="O9" s="47">
        <v>1</v>
      </c>
      <c r="P9" s="47">
        <v>1</v>
      </c>
      <c r="Q9" s="59">
        <f t="shared" si="0"/>
        <v>1</v>
      </c>
      <c r="R9" s="60">
        <v>2.8</v>
      </c>
      <c r="S9" s="42">
        <f t="shared" si="1"/>
        <v>15862</v>
      </c>
      <c r="T9" s="42">
        <f t="shared" si="2"/>
        <v>15900</v>
      </c>
      <c r="U9" s="49"/>
      <c r="W9" s="55"/>
    </row>
    <row r="10" spans="1:23" ht="24.95" customHeight="1">
      <c r="A10" s="2">
        <v>11</v>
      </c>
      <c r="B10" s="56" t="s">
        <v>73</v>
      </c>
      <c r="C10" s="57" t="s">
        <v>76</v>
      </c>
      <c r="D10" s="57"/>
      <c r="E10" s="56" t="s">
        <v>80</v>
      </c>
      <c r="F10" s="58" t="s">
        <v>84</v>
      </c>
      <c r="G10" s="42">
        <v>340</v>
      </c>
      <c r="H10" s="26">
        <v>1.01166</v>
      </c>
      <c r="I10" s="27">
        <v>1</v>
      </c>
      <c r="J10" s="47">
        <v>1</v>
      </c>
      <c r="K10" s="47">
        <v>1</v>
      </c>
      <c r="L10" s="47">
        <v>1</v>
      </c>
      <c r="M10" s="47">
        <v>1</v>
      </c>
      <c r="N10" s="47">
        <v>1</v>
      </c>
      <c r="O10" s="47">
        <v>1</v>
      </c>
      <c r="P10" s="47">
        <v>1</v>
      </c>
      <c r="Q10" s="59">
        <f t="shared" si="0"/>
        <v>1</v>
      </c>
      <c r="R10" s="60">
        <v>4.7</v>
      </c>
      <c r="S10" s="42">
        <f t="shared" si="1"/>
        <v>1616</v>
      </c>
      <c r="T10" s="42">
        <f t="shared" si="2"/>
        <v>1600</v>
      </c>
      <c r="U10" s="49"/>
      <c r="W10" s="55"/>
    </row>
    <row r="11" spans="1:23" ht="24.95" customHeight="1">
      <c r="A11" s="2">
        <v>12</v>
      </c>
      <c r="B11" s="56" t="s">
        <v>73</v>
      </c>
      <c r="C11" s="65">
        <v>807</v>
      </c>
      <c r="D11" s="65"/>
      <c r="E11" s="56" t="s">
        <v>79</v>
      </c>
      <c r="F11" s="58" t="s">
        <v>50</v>
      </c>
      <c r="G11" s="42">
        <v>1300</v>
      </c>
      <c r="H11" s="26">
        <v>1.0104299999999999</v>
      </c>
      <c r="I11" s="27">
        <v>1</v>
      </c>
      <c r="J11" s="47">
        <v>1</v>
      </c>
      <c r="K11" s="47">
        <v>1</v>
      </c>
      <c r="L11" s="47">
        <v>1</v>
      </c>
      <c r="M11" s="47">
        <v>1</v>
      </c>
      <c r="N11" s="47">
        <v>1</v>
      </c>
      <c r="O11" s="47">
        <v>1</v>
      </c>
      <c r="P11" s="47">
        <v>1</v>
      </c>
      <c r="Q11" s="59">
        <f t="shared" si="0"/>
        <v>1</v>
      </c>
      <c r="R11" s="60">
        <v>4.95</v>
      </c>
      <c r="S11" s="42">
        <f t="shared" si="1"/>
        <v>6502</v>
      </c>
      <c r="T11" s="42">
        <f t="shared" si="2"/>
        <v>6500</v>
      </c>
      <c r="U11" s="49"/>
      <c r="W11" s="55"/>
    </row>
    <row r="12" spans="1:23" ht="24.95" customHeight="1">
      <c r="A12" s="2">
        <v>13</v>
      </c>
      <c r="B12" s="56" t="s">
        <v>73</v>
      </c>
      <c r="C12" s="65">
        <v>808</v>
      </c>
      <c r="D12" s="65"/>
      <c r="E12" s="56" t="s">
        <v>79</v>
      </c>
      <c r="F12" s="58" t="s">
        <v>50</v>
      </c>
      <c r="G12" s="42">
        <v>1300</v>
      </c>
      <c r="H12" s="26">
        <v>1.0104299999999999</v>
      </c>
      <c r="I12" s="27">
        <v>1</v>
      </c>
      <c r="J12" s="47">
        <v>1</v>
      </c>
      <c r="K12" s="47">
        <v>1</v>
      </c>
      <c r="L12" s="47">
        <v>1</v>
      </c>
      <c r="M12" s="47">
        <v>1</v>
      </c>
      <c r="N12" s="47">
        <v>1</v>
      </c>
      <c r="O12" s="47">
        <v>1</v>
      </c>
      <c r="P12" s="47">
        <v>1</v>
      </c>
      <c r="Q12" s="59">
        <f t="shared" si="0"/>
        <v>1</v>
      </c>
      <c r="R12" s="60">
        <v>4.95</v>
      </c>
      <c r="S12" s="42">
        <f t="shared" si="1"/>
        <v>6502</v>
      </c>
      <c r="T12" s="42">
        <f t="shared" si="2"/>
        <v>6500</v>
      </c>
      <c r="U12" s="49"/>
      <c r="W12" s="55"/>
    </row>
    <row r="13" spans="1:23" ht="24.95" customHeight="1">
      <c r="A13" s="2">
        <v>14</v>
      </c>
      <c r="B13" s="56" t="s">
        <v>73</v>
      </c>
      <c r="C13" s="65">
        <v>818</v>
      </c>
      <c r="D13" s="65"/>
      <c r="E13" s="56" t="s">
        <v>79</v>
      </c>
      <c r="F13" s="58" t="s">
        <v>50</v>
      </c>
      <c r="G13" s="42">
        <v>1300</v>
      </c>
      <c r="H13" s="26">
        <v>1.0104299999999999</v>
      </c>
      <c r="I13" s="27">
        <v>1</v>
      </c>
      <c r="J13" s="47">
        <v>1</v>
      </c>
      <c r="K13" s="47">
        <v>1</v>
      </c>
      <c r="L13" s="47">
        <v>1</v>
      </c>
      <c r="M13" s="47">
        <v>1</v>
      </c>
      <c r="N13" s="47">
        <v>1</v>
      </c>
      <c r="O13" s="47">
        <v>1</v>
      </c>
      <c r="P13" s="47">
        <v>1</v>
      </c>
      <c r="Q13" s="59">
        <f t="shared" si="0"/>
        <v>1</v>
      </c>
      <c r="R13" s="60">
        <v>4.95</v>
      </c>
      <c r="S13" s="42">
        <f t="shared" si="1"/>
        <v>6502</v>
      </c>
      <c r="T13" s="42">
        <f t="shared" si="2"/>
        <v>6500</v>
      </c>
      <c r="U13" s="49"/>
      <c r="W13" s="55"/>
    </row>
    <row r="14" spans="1:23" ht="24.95" customHeight="1">
      <c r="A14" s="2">
        <v>15</v>
      </c>
      <c r="B14" s="56" t="s">
        <v>73</v>
      </c>
      <c r="C14" s="57" t="s">
        <v>77</v>
      </c>
      <c r="D14" s="57"/>
      <c r="E14" s="56" t="s">
        <v>79</v>
      </c>
      <c r="F14" s="58" t="s">
        <v>50</v>
      </c>
      <c r="G14" s="42">
        <v>1300</v>
      </c>
      <c r="H14" s="26">
        <v>1.0104299999999999</v>
      </c>
      <c r="I14" s="27">
        <v>1</v>
      </c>
      <c r="J14" s="47">
        <v>1</v>
      </c>
      <c r="K14" s="47">
        <v>1</v>
      </c>
      <c r="L14" s="47">
        <v>1</v>
      </c>
      <c r="M14" s="47">
        <v>1</v>
      </c>
      <c r="N14" s="47">
        <v>1</v>
      </c>
      <c r="O14" s="47">
        <v>1</v>
      </c>
      <c r="P14" s="47">
        <v>1</v>
      </c>
      <c r="Q14" s="59">
        <f t="shared" si="0"/>
        <v>1</v>
      </c>
      <c r="R14" s="60">
        <v>4.95</v>
      </c>
      <c r="S14" s="42">
        <f t="shared" si="1"/>
        <v>6502</v>
      </c>
      <c r="T14" s="42">
        <f t="shared" si="2"/>
        <v>6500</v>
      </c>
      <c r="U14" s="49"/>
      <c r="W14" s="55"/>
    </row>
    <row r="15" spans="1:23" ht="24.95" customHeight="1">
      <c r="A15" s="2">
        <v>16</v>
      </c>
      <c r="B15" s="56" t="s">
        <v>73</v>
      </c>
      <c r="C15" s="57" t="s">
        <v>78</v>
      </c>
      <c r="D15" s="57"/>
      <c r="E15" s="56" t="s">
        <v>80</v>
      </c>
      <c r="F15" s="58" t="s">
        <v>51</v>
      </c>
      <c r="G15" s="42">
        <v>500</v>
      </c>
      <c r="H15" s="26">
        <v>1.0104299999999999</v>
      </c>
      <c r="I15" s="27">
        <v>1</v>
      </c>
      <c r="J15" s="47">
        <v>1</v>
      </c>
      <c r="K15" s="47">
        <v>1</v>
      </c>
      <c r="L15" s="47">
        <v>1</v>
      </c>
      <c r="M15" s="47">
        <v>1</v>
      </c>
      <c r="N15" s="47">
        <v>1</v>
      </c>
      <c r="O15" s="47">
        <v>1</v>
      </c>
      <c r="P15" s="47">
        <v>1</v>
      </c>
      <c r="Q15" s="59">
        <f t="shared" si="0"/>
        <v>1</v>
      </c>
      <c r="R15" s="60">
        <v>4</v>
      </c>
      <c r="S15" s="42">
        <f t="shared" si="1"/>
        <v>2020</v>
      </c>
      <c r="T15" s="42">
        <f t="shared" si="2"/>
        <v>2000</v>
      </c>
      <c r="U15" s="49"/>
      <c r="W15" s="55"/>
    </row>
    <row r="16" spans="1:23" ht="24.95" customHeight="1">
      <c r="A16" s="2">
        <v>17</v>
      </c>
      <c r="B16" s="56" t="s">
        <v>73</v>
      </c>
      <c r="C16" s="65">
        <v>817</v>
      </c>
      <c r="D16" s="65"/>
      <c r="E16" s="56" t="s">
        <v>81</v>
      </c>
      <c r="F16" s="58" t="s">
        <v>50</v>
      </c>
      <c r="G16" s="42">
        <v>1300</v>
      </c>
      <c r="H16" s="26">
        <v>1.0104299999999999</v>
      </c>
      <c r="I16" s="27">
        <v>1</v>
      </c>
      <c r="J16" s="47">
        <v>1</v>
      </c>
      <c r="K16" s="47">
        <v>1</v>
      </c>
      <c r="L16" s="47">
        <v>1</v>
      </c>
      <c r="M16" s="47">
        <v>1</v>
      </c>
      <c r="N16" s="47">
        <v>1</v>
      </c>
      <c r="O16" s="47">
        <v>1</v>
      </c>
      <c r="P16" s="47">
        <v>1</v>
      </c>
      <c r="Q16" s="59">
        <f t="shared" si="0"/>
        <v>1</v>
      </c>
      <c r="R16" s="60">
        <v>4.95</v>
      </c>
      <c r="S16" s="42">
        <f t="shared" si="1"/>
        <v>6502</v>
      </c>
      <c r="T16" s="42">
        <f t="shared" si="2"/>
        <v>6500</v>
      </c>
      <c r="U16" s="49"/>
      <c r="W16" s="55"/>
    </row>
    <row r="17" spans="1:23" ht="24.95" customHeight="1">
      <c r="A17" s="2">
        <v>18</v>
      </c>
      <c r="B17" s="56" t="s">
        <v>73</v>
      </c>
      <c r="C17" s="65">
        <v>816</v>
      </c>
      <c r="D17" s="65"/>
      <c r="E17" s="56" t="s">
        <v>81</v>
      </c>
      <c r="F17" s="58" t="s">
        <v>50</v>
      </c>
      <c r="G17" s="42">
        <v>1300</v>
      </c>
      <c r="H17" s="26">
        <v>1.0104299999999999</v>
      </c>
      <c r="I17" s="27">
        <v>1</v>
      </c>
      <c r="J17" s="47">
        <v>1</v>
      </c>
      <c r="K17" s="47">
        <v>1</v>
      </c>
      <c r="L17" s="47">
        <v>1</v>
      </c>
      <c r="M17" s="47">
        <v>1</v>
      </c>
      <c r="N17" s="47">
        <v>1</v>
      </c>
      <c r="O17" s="47">
        <v>1</v>
      </c>
      <c r="P17" s="47">
        <v>1</v>
      </c>
      <c r="Q17" s="59">
        <f t="shared" si="0"/>
        <v>1</v>
      </c>
      <c r="R17" s="60">
        <v>4.95</v>
      </c>
      <c r="S17" s="42">
        <f t="shared" si="1"/>
        <v>6502</v>
      </c>
      <c r="T17" s="42">
        <f t="shared" si="2"/>
        <v>6500</v>
      </c>
      <c r="U17" s="49"/>
      <c r="W17" s="55"/>
    </row>
    <row r="18" spans="1:23" ht="24.95" customHeight="1">
      <c r="A18" s="2">
        <v>19</v>
      </c>
      <c r="B18" s="56" t="s">
        <v>73</v>
      </c>
      <c r="C18" s="65">
        <v>815</v>
      </c>
      <c r="D18" s="65"/>
      <c r="E18" s="56" t="s">
        <v>79</v>
      </c>
      <c r="F18" s="58" t="s">
        <v>50</v>
      </c>
      <c r="G18" s="42">
        <v>1300</v>
      </c>
      <c r="H18" s="26">
        <v>1.0104299999999999</v>
      </c>
      <c r="I18" s="27">
        <v>1</v>
      </c>
      <c r="J18" s="47">
        <v>1</v>
      </c>
      <c r="K18" s="47">
        <v>1</v>
      </c>
      <c r="L18" s="47">
        <v>1</v>
      </c>
      <c r="M18" s="47">
        <v>1</v>
      </c>
      <c r="N18" s="47">
        <v>1</v>
      </c>
      <c r="O18" s="47">
        <v>1</v>
      </c>
      <c r="P18" s="47">
        <v>1</v>
      </c>
      <c r="Q18" s="59">
        <f t="shared" si="0"/>
        <v>1</v>
      </c>
      <c r="R18" s="60">
        <v>4.95</v>
      </c>
      <c r="S18" s="42">
        <f>ROUNDDOWN(G18*H18*I18*Q18*R18,0)</f>
        <v>6502</v>
      </c>
      <c r="T18" s="42">
        <f t="shared" si="2"/>
        <v>6500</v>
      </c>
      <c r="U18" s="49"/>
      <c r="W18" s="55"/>
    </row>
    <row r="19" spans="1:23" ht="24.95" customHeight="1">
      <c r="A19" s="3">
        <v>20</v>
      </c>
      <c r="B19" s="61" t="s">
        <v>73</v>
      </c>
      <c r="C19" s="66">
        <v>814</v>
      </c>
      <c r="D19" s="66"/>
      <c r="E19" s="61" t="s">
        <v>79</v>
      </c>
      <c r="F19" s="62" t="s">
        <v>50</v>
      </c>
      <c r="G19" s="43">
        <v>1300</v>
      </c>
      <c r="H19" s="29">
        <v>1.0104299999999999</v>
      </c>
      <c r="I19" s="30">
        <v>1</v>
      </c>
      <c r="J19" s="48">
        <v>1</v>
      </c>
      <c r="K19" s="48">
        <v>1</v>
      </c>
      <c r="L19" s="48">
        <v>1</v>
      </c>
      <c r="M19" s="48">
        <v>1</v>
      </c>
      <c r="N19" s="48">
        <v>1</v>
      </c>
      <c r="O19" s="48">
        <v>1</v>
      </c>
      <c r="P19" s="48">
        <v>1</v>
      </c>
      <c r="Q19" s="63">
        <f t="shared" si="0"/>
        <v>1</v>
      </c>
      <c r="R19" s="64">
        <v>4.95</v>
      </c>
      <c r="S19" s="43">
        <f>ROUNDDOWN(G19*H19*I19*Q19*R19,0)</f>
        <v>6502</v>
      </c>
      <c r="T19" s="43">
        <f t="shared" si="2"/>
        <v>6500</v>
      </c>
      <c r="U19" s="50"/>
      <c r="W19" s="55"/>
    </row>
  </sheetData>
  <autoFilter ref="A2:W19" xr:uid="{00000000-0009-0000-0000-00000B000000}"/>
  <mergeCells count="12">
    <mergeCell ref="A1:A2"/>
    <mergeCell ref="B1:B2"/>
    <mergeCell ref="E1:E2"/>
    <mergeCell ref="F1:G1"/>
    <mergeCell ref="H1:H2"/>
    <mergeCell ref="C1:D1"/>
    <mergeCell ref="U1:U2"/>
    <mergeCell ref="I1:I2"/>
    <mergeCell ref="J1:Q1"/>
    <mergeCell ref="R1:R2"/>
    <mergeCell ref="S1:S2"/>
    <mergeCell ref="T1:T2"/>
  </mergeCells>
  <phoneticPr fontId="3" type="noConversion"/>
  <printOptions gridLines="1"/>
  <pageMargins left="1.3779527559055118" right="0.98425196850393704" top="1.3779527559055118" bottom="0.59055118110236227" header="0.59055118110236227" footer="0.31496062992125984"/>
  <pageSetup paperSize="9" scale="75" fitToHeight="0" orientation="landscape" useFirstPageNumber="1" r:id="rId1"/>
  <headerFooter scaleWithDoc="0">
    <oddHeader xml:space="preserve">&amp;C&amp;"굴림체,굵게"&amp;18&amp;U대상토지가격 산출 및 결정&amp;R
페이지 : &amp;P&amp;K00+000    . &amp;K000000        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7:S52"/>
  <sheetViews>
    <sheetView view="pageBreakPreview" zoomScaleNormal="100" zoomScaleSheetLayoutView="100" workbookViewId="0">
      <selection activeCell="D8" sqref="D8"/>
    </sheetView>
  </sheetViews>
  <sheetFormatPr defaultRowHeight="12"/>
  <cols>
    <col min="1" max="1" width="1.28515625" customWidth="1"/>
    <col min="2" max="2" width="8.85546875" customWidth="1"/>
    <col min="3" max="3" width="1.85546875" customWidth="1"/>
    <col min="4" max="4" width="4.28515625" customWidth="1"/>
    <col min="5" max="8" width="8.85546875" customWidth="1"/>
    <col min="9" max="9" width="6.5703125" customWidth="1"/>
    <col min="10" max="12" width="7.42578125" customWidth="1"/>
    <col min="13" max="13" width="6.42578125" customWidth="1"/>
    <col min="14" max="14" width="5.85546875" customWidth="1"/>
    <col min="15" max="15" width="5.140625" customWidth="1"/>
    <col min="16" max="16" width="10.7109375" customWidth="1"/>
    <col min="17" max="17" width="1.28515625" customWidth="1"/>
  </cols>
  <sheetData>
    <row r="7" spans="2:19" s="104" customFormat="1" ht="24.75" customHeight="1">
      <c r="I7" s="326" t="s">
        <v>174</v>
      </c>
      <c r="J7" s="326"/>
      <c r="K7" s="326"/>
      <c r="L7" s="326"/>
      <c r="M7" s="329" t="s">
        <v>182</v>
      </c>
      <c r="N7" s="326"/>
      <c r="O7" s="326"/>
      <c r="P7" s="326"/>
    </row>
    <row r="8" spans="2:19" s="104" customFormat="1" ht="24.75" customHeight="1">
      <c r="B8" s="103" t="s">
        <v>157</v>
      </c>
      <c r="C8" s="104" t="s">
        <v>45</v>
      </c>
      <c r="D8" s="104" t="e">
        <f>#REF!&amp;"수"</f>
        <v>#REF!</v>
      </c>
      <c r="I8" s="329" t="s">
        <v>180</v>
      </c>
      <c r="J8" s="109" t="s">
        <v>177</v>
      </c>
      <c r="K8" s="326"/>
      <c r="L8" s="326"/>
      <c r="M8" s="326"/>
      <c r="N8" s="326"/>
      <c r="O8" s="326"/>
      <c r="P8" s="326"/>
    </row>
    <row r="9" spans="2:19" s="104" customFormat="1" ht="24.75" customHeight="1">
      <c r="B9" s="103" t="s">
        <v>158</v>
      </c>
      <c r="C9" s="104" t="s">
        <v>45</v>
      </c>
      <c r="D9" s="104" t="e">
        <f>LEFT(#REF!,FIND("-",#REF!)-1)&amp;"장"</f>
        <v>#REF!</v>
      </c>
      <c r="I9" s="326"/>
      <c r="J9" s="109" t="s">
        <v>175</v>
      </c>
      <c r="K9" s="326"/>
      <c r="L9" s="326"/>
      <c r="M9" s="329" t="s">
        <v>181</v>
      </c>
      <c r="N9" s="326"/>
      <c r="O9" s="326"/>
      <c r="P9" s="109"/>
    </row>
    <row r="10" spans="2:19" s="104" customFormat="1" ht="24.75" customHeight="1">
      <c r="B10" s="103" t="s">
        <v>159</v>
      </c>
      <c r="C10" s="104" t="s">
        <v>45</v>
      </c>
      <c r="D10" s="105" t="s">
        <v>160</v>
      </c>
      <c r="I10" s="326"/>
      <c r="J10" s="109" t="s">
        <v>176</v>
      </c>
      <c r="K10" s="326"/>
      <c r="L10" s="326"/>
      <c r="M10" s="326"/>
      <c r="N10" s="326"/>
      <c r="O10" s="326"/>
      <c r="P10" s="109"/>
    </row>
    <row r="11" spans="2:19" s="104" customFormat="1" ht="24.75" customHeight="1">
      <c r="I11" s="326" t="s">
        <v>178</v>
      </c>
      <c r="J11" s="326"/>
      <c r="K11" s="326"/>
      <c r="L11" s="326"/>
      <c r="M11" s="326"/>
      <c r="N11" s="326"/>
      <c r="O11" s="326"/>
      <c r="P11" s="109"/>
    </row>
    <row r="12" spans="2:19" s="104" customFormat="1" ht="24.75" customHeight="1">
      <c r="B12" s="103"/>
      <c r="E12" s="105"/>
      <c r="I12" s="326" t="s">
        <v>179</v>
      </c>
      <c r="J12" s="326"/>
      <c r="K12" s="326"/>
      <c r="L12" s="326"/>
      <c r="M12" s="326"/>
      <c r="N12" s="326"/>
      <c r="O12" s="326"/>
      <c r="P12" s="109"/>
    </row>
    <row r="14" spans="2:19" ht="3.95" customHeight="1"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</row>
    <row r="15" spans="2:19" ht="15.75" customHeight="1"/>
    <row r="16" spans="2:19" s="104" customFormat="1" ht="16.5" customHeight="1">
      <c r="B16" s="327" t="str">
        <f>"            1. (주)가온감정평가법인의 업무에 협조하여 주심에 감사드리며, 귀 "&amp;S16&amp;"의 무궁한 발전을 기원합니다."</f>
        <v xml:space="preserve">            1. (주)가온감정평가법인의 업무에 협조하여 주심에 감사드리며, 귀 군의 무궁한 발전을 기원합니다.</v>
      </c>
      <c r="C16" s="327"/>
      <c r="D16" s="327"/>
      <c r="E16" s="327"/>
      <c r="F16" s="327"/>
      <c r="G16" s="327"/>
      <c r="H16" s="327"/>
      <c r="I16" s="327"/>
      <c r="J16" s="327"/>
      <c r="K16" s="327"/>
      <c r="L16" s="327"/>
      <c r="M16" s="327"/>
      <c r="N16" s="327"/>
      <c r="O16" s="327"/>
      <c r="P16" s="327"/>
      <c r="S16" s="104" t="s">
        <v>169</v>
      </c>
    </row>
    <row r="17" spans="2:16" s="104" customFormat="1" ht="16.5" customHeight="1">
      <c r="B17" s="327"/>
      <c r="C17" s="327"/>
      <c r="D17" s="327"/>
      <c r="E17" s="327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</row>
    <row r="18" spans="2:16" s="104" customFormat="1" ht="16.5" customHeight="1"/>
    <row r="19" spans="2:16" s="104" customFormat="1" ht="16.5" customHeight="1">
      <c r="B19" s="327" t="e">
        <f>"            2. 관련문서 "&amp;#REF!&amp;". 자 귀 제 "&amp;#REF!&amp;" 로 의뢰하신 『"&amp;#REF!&amp;"』에 대한 감정평가결과를 별첨과 같이 회보합니다."</f>
        <v>#REF!</v>
      </c>
      <c r="C19" s="327"/>
      <c r="D19" s="327"/>
      <c r="E19" s="327"/>
      <c r="F19" s="327"/>
      <c r="G19" s="327"/>
      <c r="H19" s="327"/>
      <c r="I19" s="327"/>
      <c r="J19" s="327"/>
      <c r="K19" s="327"/>
      <c r="L19" s="327"/>
      <c r="M19" s="327"/>
      <c r="N19" s="327"/>
      <c r="O19" s="327"/>
      <c r="P19" s="327"/>
    </row>
    <row r="20" spans="2:16" s="104" customFormat="1" ht="16.5" customHeight="1">
      <c r="B20" s="327"/>
      <c r="C20" s="327"/>
      <c r="D20" s="327"/>
      <c r="E20" s="327"/>
      <c r="F20" s="327"/>
      <c r="G20" s="327"/>
      <c r="H20" s="327"/>
      <c r="I20" s="327"/>
      <c r="J20" s="327"/>
      <c r="K20" s="327"/>
      <c r="L20" s="327"/>
      <c r="M20" s="327"/>
      <c r="N20" s="327"/>
      <c r="O20" s="327"/>
      <c r="P20" s="327"/>
    </row>
    <row r="21" spans="2:16" s="104" customFormat="1" ht="16.5" customHeight="1"/>
    <row r="22" spans="2:16" s="104" customFormat="1" ht="16.5" customHeight="1">
      <c r="B22" s="327" t="str">
        <f>"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062-250-9900)"</f>
        <v xml:space="preserve">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</v>
      </c>
      <c r="C22" s="327"/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</row>
    <row r="23" spans="2:16" s="104" customFormat="1" ht="16.5" customHeight="1">
      <c r="B23" s="327"/>
      <c r="C23" s="327"/>
      <c r="D23" s="327"/>
      <c r="E23" s="327"/>
      <c r="F23" s="327"/>
      <c r="G23" s="327"/>
      <c r="H23" s="327"/>
      <c r="I23" s="327"/>
      <c r="J23" s="327"/>
      <c r="K23" s="327"/>
      <c r="L23" s="327"/>
      <c r="M23" s="327"/>
      <c r="N23" s="327"/>
      <c r="O23" s="327"/>
      <c r="P23" s="327"/>
    </row>
    <row r="24" spans="2:16" s="104" customFormat="1" ht="16.5" customHeight="1">
      <c r="B24" s="327"/>
      <c r="C24" s="327"/>
      <c r="D24" s="327"/>
      <c r="E24" s="327"/>
      <c r="F24" s="327"/>
      <c r="G24" s="327"/>
      <c r="H24" s="327"/>
      <c r="I24" s="327"/>
      <c r="J24" s="327"/>
      <c r="K24" s="327"/>
      <c r="L24" s="327"/>
      <c r="M24" s="327"/>
      <c r="N24" s="327"/>
      <c r="O24" s="327"/>
      <c r="P24" s="327"/>
    </row>
    <row r="25" spans="2:16" s="104" customFormat="1" ht="16.5" customHeight="1">
      <c r="B25" s="104" t="s">
        <v>161</v>
      </c>
    </row>
    <row r="26" spans="2:16" s="104" customFormat="1" ht="16.5" customHeight="1"/>
    <row r="27" spans="2:16" s="104" customFormat="1" ht="16.5" customHeight="1">
      <c r="D27" s="107"/>
    </row>
    <row r="28" spans="2:16" s="104" customFormat="1" ht="16.5" customHeight="1">
      <c r="D28" s="107"/>
    </row>
    <row r="29" spans="2:16" s="104" customFormat="1" ht="16.5" customHeight="1"/>
    <row r="30" spans="2:16" s="104" customFormat="1" ht="16.5" customHeight="1">
      <c r="B30" s="103" t="s">
        <v>162</v>
      </c>
      <c r="C30" s="104" t="s">
        <v>45</v>
      </c>
      <c r="E30" s="104" t="s">
        <v>163</v>
      </c>
      <c r="H30" s="104">
        <v>2</v>
      </c>
      <c r="I30" s="104" t="s">
        <v>165</v>
      </c>
    </row>
    <row r="31" spans="2:16" s="104" customFormat="1" ht="16.5" customHeight="1">
      <c r="E31" s="104" t="s">
        <v>164</v>
      </c>
      <c r="H31" s="104">
        <v>1</v>
      </c>
      <c r="I31" s="104" t="s">
        <v>165</v>
      </c>
      <c r="L31" s="104" t="s">
        <v>166</v>
      </c>
    </row>
    <row r="32" spans="2:16" s="104" customFormat="1" ht="16.5" customHeight="1"/>
    <row r="33" spans="2:16" s="104" customFormat="1" ht="16.5" customHeight="1"/>
    <row r="34" spans="2:16" ht="30.75" customHeight="1">
      <c r="B34" s="328" t="s">
        <v>170</v>
      </c>
      <c r="C34" s="328"/>
      <c r="D34" s="328"/>
      <c r="E34" s="328"/>
      <c r="F34" s="328"/>
      <c r="G34" s="328"/>
      <c r="H34" s="328"/>
      <c r="I34" s="328"/>
      <c r="J34" s="328"/>
      <c r="K34" s="328"/>
      <c r="L34" s="328"/>
      <c r="M34" s="328"/>
      <c r="N34" s="328"/>
      <c r="O34" s="328"/>
      <c r="P34" s="328"/>
    </row>
    <row r="35" spans="2:16" ht="6" customHeight="1"/>
    <row r="36" spans="2:16" ht="27" customHeight="1">
      <c r="B36" s="324" t="s">
        <v>171</v>
      </c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</row>
    <row r="37" spans="2:16" ht="16.5" customHeight="1"/>
    <row r="38" spans="2:16" ht="3.95" customHeight="1"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</row>
    <row r="39" spans="2:16" s="108" customFormat="1" ht="9" customHeight="1"/>
    <row r="40" spans="2:16" s="104" customFormat="1" ht="22.5" customHeight="1">
      <c r="B40" s="104" t="e">
        <f>"시행일자 : 가온 "&amp;#REF!&amp;"   ( "&amp;#REF!&amp;"  )"</f>
        <v>#REF!</v>
      </c>
    </row>
    <row r="41" spans="2:16" s="104" customFormat="1" ht="22.5" customHeight="1">
      <c r="B41" s="325" t="s">
        <v>167</v>
      </c>
      <c r="C41" s="325"/>
      <c r="D41" s="325"/>
      <c r="E41" s="325"/>
      <c r="F41" s="325"/>
      <c r="G41" s="325"/>
      <c r="H41" s="325"/>
      <c r="I41" s="325"/>
      <c r="J41" s="325"/>
      <c r="K41" s="325"/>
      <c r="L41" s="325"/>
      <c r="M41" s="325"/>
      <c r="N41" s="325"/>
      <c r="O41" s="325"/>
      <c r="P41" s="325"/>
    </row>
    <row r="42" spans="2:16" s="104" customFormat="1" ht="22.5" customHeight="1">
      <c r="B42" s="104" t="s">
        <v>168</v>
      </c>
    </row>
    <row r="43" spans="2:16" ht="15.75" customHeight="1"/>
    <row r="44" spans="2:16" ht="15.75" customHeight="1"/>
    <row r="45" spans="2:16" ht="15.75" customHeight="1"/>
    <row r="46" spans="2:16" ht="15.75" customHeight="1"/>
    <row r="47" spans="2:16" ht="15.75" customHeight="1"/>
    <row r="48" spans="2:16" ht="15.75" customHeight="1"/>
    <row r="49" ht="15.75" customHeight="1"/>
    <row r="50" ht="15.75" customHeight="1"/>
    <row r="51" ht="15.75" customHeight="1"/>
    <row r="52" ht="15.75" customHeight="1"/>
  </sheetData>
  <mergeCells count="24">
    <mergeCell ref="K8:L8"/>
    <mergeCell ref="I8:I10"/>
    <mergeCell ref="M7:M8"/>
    <mergeCell ref="N7:O8"/>
    <mergeCell ref="P7:P8"/>
    <mergeCell ref="I7:J7"/>
    <mergeCell ref="K9:L9"/>
    <mergeCell ref="K7:L7"/>
    <mergeCell ref="B36:P36"/>
    <mergeCell ref="B41:P41"/>
    <mergeCell ref="K10:L10"/>
    <mergeCell ref="N10:O10"/>
    <mergeCell ref="I11:J11"/>
    <mergeCell ref="K11:L11"/>
    <mergeCell ref="B16:P17"/>
    <mergeCell ref="I12:J12"/>
    <mergeCell ref="N12:O12"/>
    <mergeCell ref="B19:P20"/>
    <mergeCell ref="B34:P34"/>
    <mergeCell ref="M9:M12"/>
    <mergeCell ref="K12:L12"/>
    <mergeCell ref="B22:P24"/>
    <mergeCell ref="N11:O11"/>
    <mergeCell ref="N9:O9"/>
  </mergeCells>
  <phoneticPr fontId="3" type="noConversion"/>
  <printOptions horizontalCentered="1"/>
  <pageMargins left="0.19685039370078741" right="0.19685039370078741" top="0.78740157480314965" bottom="0.39370078740157483" header="0.31496062992125984" footer="0.19685039370078741"/>
  <pageSetup paperSize="9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7:S53"/>
  <sheetViews>
    <sheetView view="pageBreakPreview" zoomScaleNormal="100" zoomScaleSheetLayoutView="100" workbookViewId="0">
      <selection activeCell="B20" sqref="B20:P22"/>
    </sheetView>
  </sheetViews>
  <sheetFormatPr defaultRowHeight="12"/>
  <cols>
    <col min="1" max="1" width="1.28515625" customWidth="1"/>
    <col min="2" max="2" width="10.140625" customWidth="1"/>
    <col min="3" max="3" width="3" customWidth="1"/>
    <col min="4" max="4" width="4.28515625" customWidth="1"/>
    <col min="5" max="5" width="9.28515625" customWidth="1"/>
    <col min="6" max="8" width="8.85546875" customWidth="1"/>
    <col min="9" max="9" width="6.5703125" customWidth="1"/>
    <col min="10" max="12" width="7.42578125" customWidth="1"/>
    <col min="13" max="13" width="6.42578125" customWidth="1"/>
    <col min="14" max="14" width="5.85546875" customWidth="1"/>
    <col min="15" max="15" width="5.140625" customWidth="1"/>
    <col min="16" max="16" width="11.42578125" customWidth="1"/>
    <col min="17" max="17" width="1.28515625" customWidth="1"/>
  </cols>
  <sheetData>
    <row r="7" spans="2:19" s="104" customFormat="1" ht="24.75" customHeight="1">
      <c r="I7" s="111"/>
      <c r="J7" s="111"/>
      <c r="K7" s="111"/>
      <c r="L7" s="111"/>
      <c r="M7" s="112"/>
      <c r="N7" s="111"/>
      <c r="O7" s="111"/>
      <c r="P7" s="111"/>
    </row>
    <row r="8" spans="2:19" s="104" customFormat="1" ht="27.75" customHeight="1">
      <c r="B8" s="103" t="s">
        <v>157</v>
      </c>
      <c r="C8" s="104" t="s">
        <v>45</v>
      </c>
      <c r="D8" s="104" t="s">
        <v>183</v>
      </c>
      <c r="I8" s="112"/>
      <c r="J8" s="110"/>
      <c r="K8" s="111"/>
      <c r="L8" s="111"/>
      <c r="M8" s="111"/>
      <c r="N8" s="111"/>
      <c r="O8" s="111"/>
      <c r="P8" s="111"/>
    </row>
    <row r="9" spans="2:19" s="104" customFormat="1" ht="27.75" customHeight="1">
      <c r="B9" s="103" t="s">
        <v>158</v>
      </c>
      <c r="C9" s="104" t="s">
        <v>45</v>
      </c>
      <c r="I9" s="111"/>
      <c r="J9" s="110"/>
      <c r="K9" s="111"/>
      <c r="L9" s="111"/>
      <c r="M9" s="112"/>
      <c r="N9" s="111"/>
      <c r="O9" s="111"/>
      <c r="P9" s="110"/>
    </row>
    <row r="10" spans="2:19" s="104" customFormat="1" ht="27.75" customHeight="1">
      <c r="B10" s="103" t="s">
        <v>159</v>
      </c>
      <c r="C10" s="104" t="s">
        <v>45</v>
      </c>
      <c r="D10" s="105" t="s">
        <v>160</v>
      </c>
      <c r="I10" s="111"/>
      <c r="J10" s="110"/>
      <c r="K10" s="111"/>
      <c r="L10" s="111"/>
      <c r="M10" s="111"/>
      <c r="N10" s="111"/>
      <c r="O10" s="111"/>
      <c r="P10" s="110"/>
    </row>
    <row r="12" spans="2:19" ht="3.95" customHeight="1"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</row>
    <row r="13" spans="2:19" ht="15.75" customHeight="1"/>
    <row r="14" spans="2:19" s="104" customFormat="1" ht="16.5" customHeight="1">
      <c r="B14" s="327" t="str">
        <f>"            1. (주)가온감정평가법인의 업무에 협조하여 주심에 감사드리며, 귀 "&amp;S14&amp;"의 무궁한 발전을 기원합니다."</f>
        <v xml:space="preserve">            1. (주)가온감정평가법인의 업무에 협조하여 주심에 감사드리며, 귀 위원회의 무궁한 발전을 기원합니다.</v>
      </c>
      <c r="C14" s="327"/>
      <c r="D14" s="327"/>
      <c r="E14" s="327"/>
      <c r="F14" s="327"/>
      <c r="G14" s="327"/>
      <c r="H14" s="327"/>
      <c r="I14" s="327"/>
      <c r="J14" s="327"/>
      <c r="K14" s="327"/>
      <c r="L14" s="327"/>
      <c r="M14" s="327"/>
      <c r="N14" s="327"/>
      <c r="O14" s="327"/>
      <c r="P14" s="327"/>
      <c r="S14" s="104" t="s">
        <v>185</v>
      </c>
    </row>
    <row r="15" spans="2:19" s="104" customFormat="1" ht="16.5" customHeight="1">
      <c r="B15" s="327"/>
      <c r="C15" s="327"/>
      <c r="D15" s="327"/>
      <c r="E15" s="327"/>
      <c r="F15" s="327"/>
      <c r="G15" s="327"/>
      <c r="H15" s="327"/>
      <c r="I15" s="327"/>
      <c r="J15" s="327"/>
      <c r="K15" s="327"/>
      <c r="L15" s="327"/>
      <c r="M15" s="327"/>
      <c r="N15" s="327"/>
      <c r="O15" s="327"/>
      <c r="P15" s="327"/>
    </row>
    <row r="16" spans="2:19" s="104" customFormat="1" ht="16.5" customHeight="1"/>
    <row r="17" spans="2:16" s="104" customFormat="1" ht="16.5" customHeight="1">
      <c r="B17" s="327" t="e">
        <f>"            2. 관련문서 "&amp;#REF!&amp;". 자 귀 제 "&amp;#REF!&amp;" 로 의뢰하신 『"&amp;#REF!&amp;"』에 대한 감정평가결과를 별첨과 같이 회보합니다."</f>
        <v>#REF!</v>
      </c>
      <c r="C17" s="327"/>
      <c r="D17" s="327"/>
      <c r="E17" s="327"/>
      <c r="F17" s="327"/>
      <c r="G17" s="327"/>
      <c r="H17" s="327"/>
      <c r="I17" s="327"/>
      <c r="J17" s="327"/>
      <c r="K17" s="327"/>
      <c r="L17" s="327"/>
      <c r="M17" s="327"/>
      <c r="N17" s="327"/>
      <c r="O17" s="327"/>
      <c r="P17" s="327"/>
    </row>
    <row r="18" spans="2:16" s="104" customFormat="1" ht="16.5" customHeight="1">
      <c r="B18" s="327"/>
      <c r="C18" s="327"/>
      <c r="D18" s="327"/>
      <c r="E18" s="327"/>
      <c r="F18" s="327"/>
      <c r="G18" s="327"/>
      <c r="H18" s="327"/>
      <c r="I18" s="327"/>
      <c r="J18" s="327"/>
      <c r="K18" s="327"/>
      <c r="L18" s="327"/>
      <c r="M18" s="327"/>
      <c r="N18" s="327"/>
      <c r="O18" s="327"/>
      <c r="P18" s="327"/>
    </row>
    <row r="19" spans="2:16" s="104" customFormat="1" ht="16.5" customHeight="1"/>
    <row r="20" spans="2:16" s="104" customFormat="1" ht="16.5" customHeight="1">
      <c r="B20" s="327" t="str">
        <f>"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062-250-9900)"</f>
        <v xml:space="preserve">            3. 우리법인은 부가가치세법 제16조제2항(법인의 전자세금계산서 의무발행)에 따라 2010년부터 전자세금계산서를 발급하오니 필요사항을 기재하여 팩스 또는 이메일로 회신하여 주시기 바랍니다. (전자세금계산서 담당자 : 허선미 062-250-9900)</v>
      </c>
      <c r="C20" s="327"/>
      <c r="D20" s="327"/>
      <c r="E20" s="327"/>
      <c r="F20" s="327"/>
      <c r="G20" s="327"/>
      <c r="H20" s="327"/>
      <c r="I20" s="327"/>
      <c r="J20" s="327"/>
      <c r="K20" s="327"/>
      <c r="L20" s="327"/>
      <c r="M20" s="327"/>
      <c r="N20" s="327"/>
      <c r="O20" s="327"/>
      <c r="P20" s="327"/>
    </row>
    <row r="21" spans="2:16" s="104" customFormat="1" ht="16.5" customHeight="1">
      <c r="B21" s="327"/>
      <c r="C21" s="327"/>
      <c r="D21" s="327"/>
      <c r="E21" s="327"/>
      <c r="F21" s="327"/>
      <c r="G21" s="327"/>
      <c r="H21" s="327"/>
      <c r="I21" s="327"/>
      <c r="J21" s="327"/>
      <c r="K21" s="327"/>
      <c r="L21" s="327"/>
      <c r="M21" s="327"/>
      <c r="N21" s="327"/>
      <c r="O21" s="327"/>
      <c r="P21" s="327"/>
    </row>
    <row r="22" spans="2:16" s="104" customFormat="1" ht="16.5" customHeight="1">
      <c r="B22" s="327"/>
      <c r="C22" s="327"/>
      <c r="D22" s="327"/>
      <c r="E22" s="327"/>
      <c r="F22" s="327"/>
      <c r="G22" s="327"/>
      <c r="H22" s="327"/>
      <c r="I22" s="327"/>
      <c r="J22" s="327"/>
      <c r="K22" s="327"/>
      <c r="L22" s="327"/>
      <c r="M22" s="327"/>
      <c r="N22" s="327"/>
      <c r="O22" s="327"/>
      <c r="P22" s="327"/>
    </row>
    <row r="23" spans="2:16" s="104" customFormat="1" ht="16.5" customHeight="1">
      <c r="B23" s="104" t="s">
        <v>161</v>
      </c>
    </row>
    <row r="24" spans="2:16" s="104" customFormat="1" ht="16.5" customHeight="1"/>
    <row r="25" spans="2:16" s="104" customFormat="1" ht="16.5" customHeight="1">
      <c r="D25" s="107" t="s">
        <v>172</v>
      </c>
      <c r="E25" s="104" t="s">
        <v>173</v>
      </c>
    </row>
    <row r="26" spans="2:16" s="104" customFormat="1" ht="16.5" customHeight="1">
      <c r="D26" s="107"/>
    </row>
    <row r="27" spans="2:16" s="104" customFormat="1" ht="16.5" customHeight="1">
      <c r="D27" s="107"/>
    </row>
    <row r="28" spans="2:16" s="104" customFormat="1" ht="16.5" customHeight="1"/>
    <row r="29" spans="2:16" s="104" customFormat="1" ht="16.5" customHeight="1">
      <c r="B29" s="103" t="s">
        <v>162</v>
      </c>
      <c r="C29" s="104" t="s">
        <v>45</v>
      </c>
      <c r="E29" s="104" t="s">
        <v>163</v>
      </c>
      <c r="H29" s="104">
        <v>1</v>
      </c>
      <c r="I29" s="104" t="s">
        <v>165</v>
      </c>
      <c r="L29" s="104" t="s">
        <v>166</v>
      </c>
    </row>
    <row r="30" spans="2:16" s="104" customFormat="1" ht="16.5" customHeight="1"/>
    <row r="31" spans="2:16" s="104" customFormat="1" ht="16.5" customHeight="1"/>
    <row r="32" spans="2:16" s="104" customFormat="1" ht="16.5" customHeight="1"/>
    <row r="33" spans="2:16" s="104" customFormat="1" ht="16.5" customHeight="1"/>
    <row r="34" spans="2:16" s="104" customFormat="1" ht="16.5" customHeight="1"/>
    <row r="35" spans="2:16" ht="30.75" customHeight="1">
      <c r="B35" s="328" t="s">
        <v>170</v>
      </c>
      <c r="C35" s="328"/>
      <c r="D35" s="328"/>
      <c r="E35" s="328"/>
      <c r="F35" s="328"/>
      <c r="G35" s="328"/>
      <c r="H35" s="328"/>
      <c r="I35" s="328"/>
      <c r="J35" s="328"/>
      <c r="K35" s="328"/>
      <c r="L35" s="328"/>
      <c r="M35" s="328"/>
      <c r="N35" s="328"/>
      <c r="O35" s="328"/>
      <c r="P35" s="328"/>
    </row>
    <row r="36" spans="2:16" ht="6" customHeight="1"/>
    <row r="37" spans="2:16" ht="27" customHeight="1">
      <c r="B37" s="324" t="s">
        <v>171</v>
      </c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</row>
    <row r="38" spans="2:16" ht="16.5" customHeight="1"/>
    <row r="39" spans="2:16" ht="3.95" customHeight="1">
      <c r="B39" s="106"/>
      <c r="C39" s="106"/>
      <c r="D39" s="106"/>
      <c r="E39" s="106"/>
      <c r="F39" s="106"/>
      <c r="G39" s="106"/>
      <c r="H39" s="106"/>
      <c r="I39" s="106"/>
      <c r="J39" s="106"/>
      <c r="K39" s="106"/>
      <c r="L39" s="106"/>
      <c r="M39" s="106"/>
      <c r="N39" s="106"/>
      <c r="O39" s="106"/>
      <c r="P39" s="106"/>
    </row>
    <row r="40" spans="2:16" s="108" customFormat="1" ht="9" customHeight="1"/>
    <row r="41" spans="2:16" s="104" customFormat="1" ht="22.5" customHeight="1">
      <c r="B41" s="104" t="e">
        <f>"시행일자 : 가온 "&amp;#REF!&amp;"   ( "&amp;#REF!&amp;"  )"</f>
        <v>#REF!</v>
      </c>
    </row>
    <row r="42" spans="2:16" s="104" customFormat="1" ht="22.5" customHeight="1">
      <c r="B42" s="325" t="s">
        <v>167</v>
      </c>
      <c r="C42" s="325"/>
      <c r="D42" s="325"/>
      <c r="E42" s="325"/>
      <c r="F42" s="325"/>
      <c r="G42" s="325"/>
      <c r="H42" s="325"/>
      <c r="I42" s="325"/>
      <c r="J42" s="325"/>
      <c r="K42" s="325"/>
      <c r="L42" s="325"/>
      <c r="M42" s="325"/>
      <c r="N42" s="325"/>
      <c r="O42" s="325"/>
      <c r="P42" s="325"/>
    </row>
    <row r="43" spans="2:16" s="104" customFormat="1" ht="22.5" customHeight="1">
      <c r="B43" s="104" t="s">
        <v>168</v>
      </c>
    </row>
    <row r="44" spans="2:16" ht="15.75" customHeight="1"/>
    <row r="45" spans="2:16" ht="15.75" customHeight="1"/>
    <row r="46" spans="2:16" ht="15.75" customHeight="1"/>
    <row r="47" spans="2:16" ht="15.75" customHeight="1"/>
    <row r="48" spans="2:16" ht="15.75" customHeight="1"/>
    <row r="49" ht="15.75" customHeight="1"/>
    <row r="50" ht="15.75" customHeight="1"/>
    <row r="51" ht="15.75" customHeight="1"/>
    <row r="52" ht="15.75" customHeight="1"/>
    <row r="53" ht="15.75" customHeight="1"/>
  </sheetData>
  <mergeCells count="6">
    <mergeCell ref="B42:P42"/>
    <mergeCell ref="B35:P35"/>
    <mergeCell ref="B14:P15"/>
    <mergeCell ref="B17:P18"/>
    <mergeCell ref="B20:P22"/>
    <mergeCell ref="B37:P37"/>
  </mergeCells>
  <phoneticPr fontId="3" type="noConversion"/>
  <printOptions horizontalCentered="1"/>
  <pageMargins left="0.19685039370078741" right="0.19685039370078741" top="0.78740157480314965" bottom="0.59055118110236227" header="0.31496062992125984" footer="0.19685039370078741"/>
  <pageSetup paperSize="9" scale="98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J30"/>
  <sheetViews>
    <sheetView workbookViewId="0">
      <selection activeCell="E20" sqref="E20"/>
    </sheetView>
  </sheetViews>
  <sheetFormatPr defaultRowHeight="18.75" customHeight="1"/>
  <cols>
    <col min="1" max="1" width="3.28515625" customWidth="1"/>
    <col min="2" max="2" width="15.5703125" style="5" customWidth="1"/>
    <col min="3" max="3" width="20.7109375" customWidth="1"/>
    <col min="4" max="4" width="3.7109375" customWidth="1"/>
    <col min="5" max="5" width="15.85546875" style="44" customWidth="1"/>
    <col min="6" max="6" width="4.5703125" customWidth="1"/>
    <col min="7" max="7" width="15.28515625" style="5" customWidth="1"/>
    <col min="8" max="8" width="20.7109375" customWidth="1"/>
    <col min="9" max="9" width="3.7109375" customWidth="1"/>
    <col min="10" max="10" width="15.85546875" style="44" customWidth="1"/>
  </cols>
  <sheetData>
    <row r="1" spans="2:10" ht="18.75" customHeight="1" thickBot="1">
      <c r="B1" s="5" t="s">
        <v>149</v>
      </c>
      <c r="G1" s="5" t="s">
        <v>39</v>
      </c>
    </row>
    <row r="2" spans="2:10" ht="18.75" customHeight="1" thickBot="1">
      <c r="B2" s="23" t="s">
        <v>33</v>
      </c>
      <c r="C2" s="33" t="e">
        <f>'준주거,유치원'!G7+#REF!</f>
        <v>#REF!</v>
      </c>
      <c r="D2" s="25" t="s">
        <v>38</v>
      </c>
      <c r="E2" s="51" t="e">
        <f>'준주거,유치원'!#REF!</f>
        <v>#REF!</v>
      </c>
      <c r="G2" s="23" t="s">
        <v>33</v>
      </c>
      <c r="H2" s="33"/>
    </row>
    <row r="3" spans="2:10" ht="18.75" customHeight="1">
      <c r="B3" s="6" t="s">
        <v>10</v>
      </c>
      <c r="C3" s="15" t="e">
        <f>'준주거,유치원'!#REF!</f>
        <v>#REF!</v>
      </c>
      <c r="G3" s="6" t="s">
        <v>10</v>
      </c>
      <c r="H3" s="15"/>
    </row>
    <row r="4" spans="2:10" ht="18.75" customHeight="1" thickBot="1">
      <c r="B4" s="7" t="s">
        <v>11</v>
      </c>
      <c r="C4" s="16" t="e">
        <f>'준주거,유치원'!#REF!</f>
        <v>#REF!</v>
      </c>
      <c r="G4" s="7" t="s">
        <v>11</v>
      </c>
      <c r="H4" s="16"/>
    </row>
    <row r="5" spans="2:10" ht="18.75" customHeight="1" thickBot="1">
      <c r="B5" s="7" t="s">
        <v>40</v>
      </c>
      <c r="C5" s="16" t="e">
        <f>#REF!</f>
        <v>#REF!</v>
      </c>
      <c r="D5" s="25" t="s">
        <v>38</v>
      </c>
      <c r="E5" s="45" t="e">
        <f>SUM(C6:C8)</f>
        <v>#REF!</v>
      </c>
      <c r="G5" s="7" t="s">
        <v>40</v>
      </c>
      <c r="H5" s="16"/>
      <c r="I5" s="25" t="s">
        <v>38</v>
      </c>
      <c r="J5" s="45"/>
    </row>
    <row r="6" spans="2:10" ht="18.75" customHeight="1">
      <c r="B6" s="7" t="s">
        <v>12</v>
      </c>
      <c r="C6" s="16" t="e">
        <f>#REF!</f>
        <v>#REF!</v>
      </c>
      <c r="G6" s="7" t="s">
        <v>12</v>
      </c>
      <c r="H6" s="16"/>
    </row>
    <row r="7" spans="2:10" ht="18.75" customHeight="1">
      <c r="B7" s="7" t="s">
        <v>13</v>
      </c>
      <c r="C7" s="16" t="e">
        <f>#REF!</f>
        <v>#REF!</v>
      </c>
      <c r="G7" s="7" t="s">
        <v>13</v>
      </c>
      <c r="H7" s="16"/>
    </row>
    <row r="8" spans="2:10" ht="18.75" customHeight="1">
      <c r="B8" s="7" t="s">
        <v>14</v>
      </c>
      <c r="C8" s="16" t="e">
        <f>#REF!</f>
        <v>#REF!</v>
      </c>
      <c r="G8" s="7" t="s">
        <v>14</v>
      </c>
      <c r="H8" s="16"/>
    </row>
    <row r="9" spans="2:10" ht="18.75" customHeight="1" thickBot="1">
      <c r="B9" s="8"/>
      <c r="C9" s="31"/>
      <c r="G9" s="8"/>
      <c r="H9" s="31"/>
    </row>
    <row r="10" spans="2:10" ht="18.75" customHeight="1" thickTop="1">
      <c r="B10" s="9" t="s">
        <v>15</v>
      </c>
      <c r="C10" s="17" t="e">
        <f>C4+C7</f>
        <v>#REF!</v>
      </c>
      <c r="G10" s="9" t="s">
        <v>15</v>
      </c>
      <c r="H10" s="17">
        <f>H4+H7</f>
        <v>0</v>
      </c>
    </row>
    <row r="11" spans="2:10" ht="18.75" customHeight="1">
      <c r="B11" s="7" t="s">
        <v>16</v>
      </c>
      <c r="C11" s="16" t="e">
        <f>C3+C6</f>
        <v>#REF!</v>
      </c>
      <c r="G11" s="7" t="s">
        <v>16</v>
      </c>
      <c r="H11" s="16">
        <f>H3+H6</f>
        <v>0</v>
      </c>
    </row>
    <row r="12" spans="2:10" ht="18.75" customHeight="1">
      <c r="B12" s="7" t="s">
        <v>17</v>
      </c>
      <c r="C12" s="16" t="e">
        <f>C10+C11</f>
        <v>#REF!</v>
      </c>
      <c r="G12" s="7" t="s">
        <v>17</v>
      </c>
      <c r="H12" s="16">
        <f>H10+H11</f>
        <v>0</v>
      </c>
    </row>
    <row r="13" spans="2:10" ht="18.75" customHeight="1">
      <c r="B13" s="7" t="s">
        <v>18</v>
      </c>
      <c r="C13" s="16" t="e">
        <f>IF(C12&lt;=50000000,200000,IF(C12&lt;=500000000,C12*11/10000+145000,IF(C12&lt;=1000000000,C12*9/10000+245000,IF(C12&lt;=5000000000,C12*8/10000+345000,IF(C12&lt;=10000000000,C12*7/10000+845000,IF(C12&lt;=100000000000,C12*6/10000+1845000))))))</f>
        <v>#REF!</v>
      </c>
      <c r="G13" s="7" t="s">
        <v>18</v>
      </c>
      <c r="H13" s="16">
        <f>IF(H12&lt;=50000000,200000,IF(H12&lt;=500000000,H12*11/10000+145000,IF(H12&lt;=1000000000,H12*9/10000+245000,IF(H12&lt;=5000000000,H12*8/10000+345000,IF(H12&lt;=10000000000,H12*7/10000+845000,IF(H12&lt;=100000000000,H12*6/10000+1845000))))))</f>
        <v>200000</v>
      </c>
    </row>
    <row r="14" spans="2:10" ht="18.75" customHeight="1">
      <c r="B14" s="7" t="s">
        <v>19</v>
      </c>
      <c r="C14" s="16" t="e">
        <f>ROUNDDOWN(C10/C12*C13*1.5,0)</f>
        <v>#REF!</v>
      </c>
      <c r="G14" s="7" t="s">
        <v>19</v>
      </c>
      <c r="H14" s="16" t="e">
        <f>ROUNDDOWN(H10/H12*H13*1.5,0)</f>
        <v>#DIV/0!</v>
      </c>
    </row>
    <row r="15" spans="2:10" ht="18.75" customHeight="1">
      <c r="B15" s="7" t="s">
        <v>16</v>
      </c>
      <c r="C15" s="16" t="e">
        <f>ROUNDDOWN(C11/C12*C13*1,0)</f>
        <v>#REF!</v>
      </c>
      <c r="G15" s="7" t="s">
        <v>16</v>
      </c>
      <c r="H15" s="16" t="e">
        <f>ROUNDDOWN(H11/H12*H13*1,0)</f>
        <v>#DIV/0!</v>
      </c>
    </row>
    <row r="16" spans="2:10" ht="18.75" customHeight="1">
      <c r="B16" s="7" t="s">
        <v>20</v>
      </c>
      <c r="C16" s="16" t="e">
        <f>#REF!</f>
        <v>#REF!</v>
      </c>
      <c r="G16" s="7" t="s">
        <v>20</v>
      </c>
      <c r="H16" s="16"/>
    </row>
    <row r="17" spans="2:8" ht="18.75" customHeight="1" thickBot="1">
      <c r="B17" s="24" t="s">
        <v>34</v>
      </c>
      <c r="C17" s="32" t="e">
        <f>IF(C14=0,C15,(IF(C14+C15&gt;300000,C14+C15,300000)))</f>
        <v>#REF!</v>
      </c>
      <c r="G17" s="24" t="s">
        <v>34</v>
      </c>
      <c r="H17" s="32" t="e">
        <f>IF(H14=0,H15,(IF(H14+H15&gt;300000,H14+H15,300000)))</f>
        <v>#DIV/0!</v>
      </c>
    </row>
    <row r="18" spans="2:8" ht="18.75" customHeight="1" thickBot="1"/>
    <row r="19" spans="2:8" ht="18.75" customHeight="1">
      <c r="B19" s="18" t="s">
        <v>30</v>
      </c>
      <c r="C19" s="34" t="e">
        <f>C17</f>
        <v>#REF!</v>
      </c>
      <c r="G19" s="18" t="s">
        <v>30</v>
      </c>
      <c r="H19" s="34" t="e">
        <f>H17</f>
        <v>#DIV/0!</v>
      </c>
    </row>
    <row r="20" spans="2:8" ht="18.75" customHeight="1">
      <c r="B20" s="19" t="s">
        <v>31</v>
      </c>
      <c r="C20" s="35">
        <f>E20*2+75000</f>
        <v>79000</v>
      </c>
      <c r="E20" s="44">
        <v>2000</v>
      </c>
      <c r="G20" s="19" t="s">
        <v>31</v>
      </c>
      <c r="H20" s="35"/>
    </row>
    <row r="21" spans="2:8" ht="18.75" customHeight="1">
      <c r="B21" s="10" t="s">
        <v>21</v>
      </c>
      <c r="C21" s="28" t="e">
        <f>E21*15000</f>
        <v>#REF!</v>
      </c>
      <c r="D21" s="25"/>
      <c r="E21" s="46" t="e">
        <f>'준주거,유치원'!#REF!</f>
        <v>#REF!</v>
      </c>
      <c r="G21" s="10" t="s">
        <v>21</v>
      </c>
      <c r="H21" s="28">
        <f>I21*15000</f>
        <v>0</v>
      </c>
    </row>
    <row r="22" spans="2:8" ht="18.75" customHeight="1">
      <c r="B22" s="10" t="s">
        <v>22</v>
      </c>
      <c r="C22" s="28" t="e">
        <f>E22*3000</f>
        <v>#REF!</v>
      </c>
      <c r="D22" s="25"/>
      <c r="E22" s="46" t="e">
        <f>#REF!</f>
        <v>#REF!</v>
      </c>
      <c r="G22" s="10" t="s">
        <v>22</v>
      </c>
      <c r="H22" s="28">
        <f>I22*3000</f>
        <v>0</v>
      </c>
    </row>
    <row r="23" spans="2:8" ht="18.75" customHeight="1">
      <c r="B23" s="19" t="s">
        <v>32</v>
      </c>
      <c r="C23" s="35" t="e">
        <f>C22+C21</f>
        <v>#REF!</v>
      </c>
      <c r="G23" s="19" t="s">
        <v>32</v>
      </c>
      <c r="H23" s="35">
        <f>H22+H21</f>
        <v>0</v>
      </c>
    </row>
    <row r="24" spans="2:8" ht="18.75" customHeight="1">
      <c r="B24" s="10" t="s">
        <v>23</v>
      </c>
      <c r="C24" s="28">
        <v>0</v>
      </c>
      <c r="G24" s="10" t="s">
        <v>23</v>
      </c>
      <c r="H24" s="28">
        <v>0</v>
      </c>
    </row>
    <row r="25" spans="2:8" ht="18.75" customHeight="1">
      <c r="B25" s="10" t="s">
        <v>24</v>
      </c>
      <c r="C25" s="28">
        <v>0</v>
      </c>
      <c r="G25" s="10" t="s">
        <v>24</v>
      </c>
      <c r="H25" s="28">
        <v>0</v>
      </c>
    </row>
    <row r="26" spans="2:8" ht="18.75" customHeight="1">
      <c r="B26" s="10" t="s">
        <v>25</v>
      </c>
      <c r="C26" s="28">
        <v>0</v>
      </c>
      <c r="G26" s="10" t="s">
        <v>25</v>
      </c>
      <c r="H26" s="28">
        <v>0</v>
      </c>
    </row>
    <row r="27" spans="2:8" ht="18.75" customHeight="1" thickBot="1">
      <c r="B27" s="11" t="s">
        <v>26</v>
      </c>
      <c r="C27" s="36" t="e">
        <f>SUM(C20:C26)-C23</f>
        <v>#REF!</v>
      </c>
      <c r="G27" s="11" t="s">
        <v>26</v>
      </c>
      <c r="H27" s="36">
        <f>SUM(H20:H26)-H23</f>
        <v>0</v>
      </c>
    </row>
    <row r="28" spans="2:8" ht="18.75" customHeight="1" thickTop="1">
      <c r="B28" s="12" t="s">
        <v>29</v>
      </c>
      <c r="C28" s="37" t="e">
        <f>ROUNDDOWN(C27+C19,-3)</f>
        <v>#REF!</v>
      </c>
      <c r="G28" s="12" t="s">
        <v>29</v>
      </c>
      <c r="H28" s="20" t="e">
        <f>ROUNDDOWN(H27+H19,-3)</f>
        <v>#DIV/0!</v>
      </c>
    </row>
    <row r="29" spans="2:8" ht="18.75" customHeight="1">
      <c r="B29" s="13" t="s">
        <v>27</v>
      </c>
      <c r="C29" s="38" t="e">
        <f>C28*0.1</f>
        <v>#REF!</v>
      </c>
      <c r="G29" s="13" t="s">
        <v>27</v>
      </c>
      <c r="H29" s="21" t="e">
        <f>H28*0.1</f>
        <v>#DIV/0!</v>
      </c>
    </row>
    <row r="30" spans="2:8" ht="18.75" customHeight="1" thickBot="1">
      <c r="B30" s="14" t="s">
        <v>28</v>
      </c>
      <c r="C30" s="39" t="e">
        <f>C29+C28</f>
        <v>#REF!</v>
      </c>
      <c r="G30" s="14" t="s">
        <v>28</v>
      </c>
      <c r="H30" s="22" t="e">
        <f>H29+H28</f>
        <v>#DIV/0!</v>
      </c>
    </row>
  </sheetData>
  <phoneticPr fontId="3" type="noConversion"/>
  <pageMargins left="0.37" right="0.18" top="1" bottom="1" header="0.5" footer="0.5"/>
  <pageSetup paperSize="9" scale="9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1"/>
  <sheetViews>
    <sheetView workbookViewId="0">
      <selection activeCell="E20" sqref="E20"/>
    </sheetView>
  </sheetViews>
  <sheetFormatPr defaultColWidth="11.42578125" defaultRowHeight="24.95" customHeight="1"/>
  <cols>
    <col min="1" max="1" width="5.5703125" style="76" customWidth="1"/>
    <col min="2" max="2" width="22.7109375" style="76" customWidth="1"/>
    <col min="3" max="3" width="3.5703125" style="76" customWidth="1"/>
    <col min="4" max="4" width="13.5703125" style="76" customWidth="1"/>
    <col min="5" max="5" width="20.28515625" style="76" customWidth="1"/>
    <col min="6" max="6" width="32.5703125" style="76" customWidth="1"/>
    <col min="7" max="7" width="1.42578125" style="76" customWidth="1"/>
    <col min="8" max="16384" width="11.42578125" style="76"/>
  </cols>
  <sheetData>
    <row r="1" spans="1:7" ht="57.75" customHeight="1">
      <c r="A1" s="361" t="s">
        <v>89</v>
      </c>
      <c r="B1" s="361"/>
      <c r="C1" s="361"/>
      <c r="D1" s="361"/>
      <c r="E1" s="361"/>
      <c r="F1" s="361"/>
      <c r="G1" s="361"/>
    </row>
    <row r="2" spans="1:7" ht="30" customHeight="1">
      <c r="E2" s="362" t="s">
        <v>90</v>
      </c>
      <c r="F2" s="363" t="s">
        <v>151</v>
      </c>
    </row>
    <row r="3" spans="1:7" ht="24.95" customHeight="1">
      <c r="A3" s="364" t="s">
        <v>91</v>
      </c>
      <c r="B3" s="364"/>
      <c r="C3" s="40"/>
      <c r="E3" s="362"/>
      <c r="F3" s="330"/>
    </row>
    <row r="4" spans="1:7" ht="24.95" customHeight="1">
      <c r="A4" s="77" t="str">
        <f>"金"&amp;NUMBERSTRING(E4,2)&amp;"원整"</f>
        <v>金六拾萬九阡四百원整</v>
      </c>
      <c r="B4" s="78"/>
      <c r="C4" s="78"/>
      <c r="D4" s="78"/>
      <c r="E4" s="365">
        <f>C22</f>
        <v>609400</v>
      </c>
      <c r="F4" s="365"/>
    </row>
    <row r="5" spans="1:7" ht="15.75" customHeight="1">
      <c r="A5" s="40"/>
      <c r="B5" s="40"/>
      <c r="C5" s="40"/>
      <c r="E5" s="79"/>
      <c r="F5" s="79"/>
    </row>
    <row r="6" spans="1:7" ht="24.95" customHeight="1">
      <c r="A6" s="355" t="s">
        <v>92</v>
      </c>
      <c r="B6" s="355"/>
      <c r="C6" s="355"/>
      <c r="D6" s="355"/>
      <c r="E6" s="355"/>
      <c r="F6" s="355"/>
      <c r="G6" s="355"/>
    </row>
    <row r="7" spans="1:7" ht="24.95" customHeight="1">
      <c r="A7" s="356" t="s">
        <v>93</v>
      </c>
      <c r="B7" s="356"/>
      <c r="C7" s="356"/>
      <c r="D7" s="356"/>
      <c r="E7" s="356"/>
      <c r="F7" s="356"/>
      <c r="G7" s="356"/>
    </row>
    <row r="8" spans="1:7" ht="14.25" customHeight="1">
      <c r="A8" s="80"/>
      <c r="B8" s="80"/>
      <c r="C8" s="80"/>
      <c r="D8" s="80"/>
      <c r="E8" s="80"/>
      <c r="F8" s="80"/>
      <c r="G8" s="80"/>
    </row>
    <row r="9" spans="1:7" ht="28.5" customHeight="1">
      <c r="A9" s="357" t="s">
        <v>94</v>
      </c>
      <c r="B9" s="357"/>
      <c r="C9" s="357"/>
      <c r="D9" s="357"/>
      <c r="E9" s="357"/>
      <c r="F9" s="357"/>
      <c r="G9" s="357"/>
    </row>
    <row r="10" spans="1:7" ht="20.100000000000001" customHeight="1">
      <c r="A10" s="358" t="s">
        <v>95</v>
      </c>
      <c r="B10" s="359"/>
      <c r="C10" s="359" t="s">
        <v>96</v>
      </c>
      <c r="D10" s="359"/>
      <c r="E10" s="359"/>
      <c r="F10" s="359" t="s">
        <v>97</v>
      </c>
      <c r="G10" s="360"/>
    </row>
    <row r="11" spans="1:7" ht="20.100000000000001" customHeight="1">
      <c r="A11" s="351" t="s">
        <v>98</v>
      </c>
      <c r="B11" s="349"/>
      <c r="C11" s="353">
        <v>219718</v>
      </c>
      <c r="D11" s="353"/>
      <c r="E11" s="353"/>
      <c r="F11" s="82" t="s">
        <v>99</v>
      </c>
      <c r="G11" s="83"/>
    </row>
    <row r="12" spans="1:7" ht="20.100000000000001" customHeight="1">
      <c r="A12" s="354" t="s">
        <v>100</v>
      </c>
      <c r="B12" s="81" t="s">
        <v>101</v>
      </c>
      <c r="C12" s="353">
        <v>175600</v>
      </c>
      <c r="D12" s="353"/>
      <c r="E12" s="353"/>
      <c r="F12" s="84" t="s">
        <v>102</v>
      </c>
      <c r="G12" s="85"/>
    </row>
    <row r="13" spans="1:7" ht="20.100000000000001" customHeight="1">
      <c r="A13" s="354"/>
      <c r="B13" s="81" t="s">
        <v>103</v>
      </c>
      <c r="C13" s="353">
        <f>10*15000+3*3000</f>
        <v>159000</v>
      </c>
      <c r="D13" s="353"/>
      <c r="E13" s="353"/>
      <c r="F13" s="84" t="s">
        <v>104</v>
      </c>
      <c r="G13" s="85"/>
    </row>
    <row r="14" spans="1:7" ht="20.100000000000001" customHeight="1">
      <c r="A14" s="354"/>
      <c r="B14" s="81" t="s">
        <v>105</v>
      </c>
      <c r="C14" s="353">
        <v>0</v>
      </c>
      <c r="D14" s="353"/>
      <c r="E14" s="353"/>
      <c r="F14" s="84"/>
      <c r="G14" s="85"/>
    </row>
    <row r="15" spans="1:7" ht="20.100000000000001" customHeight="1">
      <c r="A15" s="354"/>
      <c r="B15" s="81" t="s">
        <v>106</v>
      </c>
      <c r="C15" s="353">
        <v>0</v>
      </c>
      <c r="D15" s="353"/>
      <c r="E15" s="353"/>
      <c r="F15" s="84"/>
      <c r="G15" s="85"/>
    </row>
    <row r="16" spans="1:7" ht="20.100000000000001" customHeight="1">
      <c r="A16" s="354"/>
      <c r="B16" s="81" t="s">
        <v>107</v>
      </c>
      <c r="C16" s="353">
        <v>0</v>
      </c>
      <c r="D16" s="353"/>
      <c r="E16" s="353"/>
      <c r="F16" s="84"/>
      <c r="G16" s="85"/>
    </row>
    <row r="17" spans="1:7" ht="20.100000000000001" customHeight="1">
      <c r="A17" s="354"/>
      <c r="B17" s="81" t="s">
        <v>108</v>
      </c>
      <c r="C17" s="353">
        <f>SUM(C12:E16)</f>
        <v>334600</v>
      </c>
      <c r="D17" s="353"/>
      <c r="E17" s="353"/>
      <c r="F17" s="86"/>
      <c r="G17" s="87"/>
    </row>
    <row r="18" spans="1:7" ht="20.100000000000001" customHeight="1">
      <c r="A18" s="346" t="s">
        <v>109</v>
      </c>
      <c r="B18" s="347"/>
      <c r="C18" s="348">
        <f>ROUNDDOWN(SUM(C11:E16),-3)</f>
        <v>554000</v>
      </c>
      <c r="D18" s="348"/>
      <c r="E18" s="348"/>
      <c r="F18" s="349" t="s">
        <v>110</v>
      </c>
      <c r="G18" s="350"/>
    </row>
    <row r="19" spans="1:7" ht="20.100000000000001" customHeight="1">
      <c r="A19" s="351" t="s">
        <v>111</v>
      </c>
      <c r="B19" s="349"/>
      <c r="C19" s="352">
        <f>(C18)*0.1</f>
        <v>55400</v>
      </c>
      <c r="D19" s="352"/>
      <c r="E19" s="352"/>
      <c r="F19" s="349"/>
      <c r="G19" s="350"/>
    </row>
    <row r="20" spans="1:7" ht="20.100000000000001" customHeight="1">
      <c r="A20" s="346" t="s">
        <v>112</v>
      </c>
      <c r="B20" s="347"/>
      <c r="C20" s="348">
        <f>SUM(C18:E19)</f>
        <v>609400</v>
      </c>
      <c r="D20" s="348"/>
      <c r="E20" s="348"/>
      <c r="F20" s="349"/>
      <c r="G20" s="350"/>
    </row>
    <row r="21" spans="1:7" ht="20.100000000000001" customHeight="1">
      <c r="A21" s="351" t="s">
        <v>113</v>
      </c>
      <c r="B21" s="349"/>
      <c r="C21" s="352">
        <v>0</v>
      </c>
      <c r="D21" s="352"/>
      <c r="E21" s="352"/>
      <c r="F21" s="349"/>
      <c r="G21" s="350"/>
    </row>
    <row r="22" spans="1:7" ht="20.100000000000001" customHeight="1">
      <c r="A22" s="335" t="s">
        <v>114</v>
      </c>
      <c r="B22" s="336"/>
      <c r="C22" s="337">
        <f>SUM(C20-C21)</f>
        <v>609400</v>
      </c>
      <c r="D22" s="337"/>
      <c r="E22" s="337"/>
      <c r="F22" s="338"/>
      <c r="G22" s="339"/>
    </row>
    <row r="23" spans="1:7" ht="18" customHeight="1">
      <c r="A23" s="88" t="s">
        <v>150</v>
      </c>
      <c r="B23" s="88"/>
      <c r="C23" s="88"/>
      <c r="D23" s="88"/>
      <c r="E23" s="88"/>
      <c r="F23" s="88"/>
      <c r="G23" s="88"/>
    </row>
    <row r="24" spans="1:7" ht="12.75" customHeight="1">
      <c r="A24" s="88"/>
      <c r="B24" s="88"/>
      <c r="C24" s="88"/>
      <c r="D24" s="88"/>
      <c r="E24" s="88"/>
      <c r="F24" s="88"/>
      <c r="G24" s="88"/>
    </row>
    <row r="25" spans="1:7" ht="20.100000000000001" customHeight="1">
      <c r="A25" s="340" t="s">
        <v>115</v>
      </c>
      <c r="B25" s="341"/>
      <c r="C25" s="341"/>
      <c r="D25" s="341"/>
      <c r="E25" s="341"/>
      <c r="F25" s="341"/>
      <c r="G25" s="342"/>
    </row>
    <row r="26" spans="1:7" ht="38.25" customHeight="1">
      <c r="A26" s="343" t="s">
        <v>152</v>
      </c>
      <c r="B26" s="344"/>
      <c r="C26" s="344"/>
      <c r="D26" s="344"/>
      <c r="E26" s="344"/>
      <c r="F26" s="344"/>
      <c r="G26" s="345"/>
    </row>
    <row r="27" spans="1:7" ht="12" customHeight="1">
      <c r="A27" s="330"/>
      <c r="B27" s="330"/>
      <c r="C27" s="40"/>
      <c r="D27" s="41"/>
      <c r="E27" s="40"/>
      <c r="F27" s="330"/>
      <c r="G27" s="330"/>
    </row>
    <row r="28" spans="1:7" ht="13.5" customHeight="1">
      <c r="A28" s="330"/>
      <c r="B28" s="330"/>
      <c r="C28" s="40"/>
      <c r="D28" s="41"/>
      <c r="E28" s="40"/>
      <c r="F28" s="330"/>
      <c r="G28" s="330"/>
    </row>
    <row r="29" spans="1:7" ht="15.75" hidden="1" customHeight="1"/>
    <row r="30" spans="1:7" ht="24.95" customHeight="1">
      <c r="A30" s="331" t="s">
        <v>116</v>
      </c>
      <c r="B30" s="332"/>
      <c r="C30" s="332"/>
      <c r="D30" s="332"/>
      <c r="E30" s="332"/>
      <c r="F30" s="332"/>
    </row>
    <row r="31" spans="1:7" ht="24.95" customHeight="1">
      <c r="A31" s="333" t="s">
        <v>117</v>
      </c>
      <c r="B31" s="334"/>
      <c r="C31" s="334"/>
      <c r="D31" s="334"/>
      <c r="E31" s="334"/>
      <c r="F31" s="334"/>
    </row>
  </sheetData>
  <mergeCells count="43">
    <mergeCell ref="A1:G1"/>
    <mergeCell ref="E2:E3"/>
    <mergeCell ref="F2:F3"/>
    <mergeCell ref="A3:B3"/>
    <mergeCell ref="E4:F4"/>
    <mergeCell ref="A6:G6"/>
    <mergeCell ref="A7:G7"/>
    <mergeCell ref="A9:G9"/>
    <mergeCell ref="A10:B10"/>
    <mergeCell ref="C10:E10"/>
    <mergeCell ref="F10:G10"/>
    <mergeCell ref="A11:B11"/>
    <mergeCell ref="C11:E11"/>
    <mergeCell ref="A12:A17"/>
    <mergeCell ref="C12:E12"/>
    <mergeCell ref="C13:E13"/>
    <mergeCell ref="C14:E14"/>
    <mergeCell ref="C15:E15"/>
    <mergeCell ref="C16:E16"/>
    <mergeCell ref="C17:E17"/>
    <mergeCell ref="A18:B18"/>
    <mergeCell ref="C18:E18"/>
    <mergeCell ref="F18:G18"/>
    <mergeCell ref="A19:B19"/>
    <mergeCell ref="C19:E19"/>
    <mergeCell ref="F19:G19"/>
    <mergeCell ref="A20:B20"/>
    <mergeCell ref="C20:E20"/>
    <mergeCell ref="F20:G20"/>
    <mergeCell ref="A21:B21"/>
    <mergeCell ref="C21:E21"/>
    <mergeCell ref="F21:G21"/>
    <mergeCell ref="A28:B28"/>
    <mergeCell ref="F28:G28"/>
    <mergeCell ref="A30:F30"/>
    <mergeCell ref="A31:F31"/>
    <mergeCell ref="A22:B22"/>
    <mergeCell ref="C22:E22"/>
    <mergeCell ref="F22:G22"/>
    <mergeCell ref="A25:G25"/>
    <mergeCell ref="A26:G26"/>
    <mergeCell ref="A27:B27"/>
    <mergeCell ref="F27:G27"/>
  </mergeCells>
  <phoneticPr fontId="3" type="noConversion"/>
  <printOptions horizontalCentered="1"/>
  <pageMargins left="0.59055118110236227" right="0.59055118110236227" top="1.2204724409448819" bottom="0.47244094488188981" header="0.51181102362204722" footer="0.51181102362204722"/>
  <pageSetup paperSize="9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J12"/>
  <sheetViews>
    <sheetView workbookViewId="0">
      <selection activeCell="E20" sqref="E20"/>
    </sheetView>
  </sheetViews>
  <sheetFormatPr defaultRowHeight="30" customHeight="1"/>
  <cols>
    <col min="1" max="1" width="10.7109375" customWidth="1"/>
    <col min="2" max="2" width="44.42578125" customWidth="1"/>
    <col min="3" max="3" width="10.7109375" customWidth="1"/>
    <col min="4" max="4" width="5.7109375" customWidth="1"/>
    <col min="5" max="5" width="10.7109375" customWidth="1"/>
    <col min="6" max="6" width="31" customWidth="1"/>
    <col min="7" max="7" width="10.7109375" customWidth="1"/>
    <col min="8" max="8" width="5.7109375" customWidth="1"/>
    <col min="9" max="9" width="36.7109375" customWidth="1"/>
    <col min="10" max="10" width="10.7109375" customWidth="1"/>
  </cols>
  <sheetData>
    <row r="1" spans="1:10" ht="30" customHeight="1">
      <c r="A1" s="89" t="s">
        <v>118</v>
      </c>
      <c r="B1" s="89" t="s">
        <v>119</v>
      </c>
      <c r="C1" s="89" t="s">
        <v>120</v>
      </c>
      <c r="D1" s="90"/>
      <c r="E1" s="366" t="s">
        <v>121</v>
      </c>
      <c r="F1" s="367"/>
      <c r="G1" s="89" t="s">
        <v>120</v>
      </c>
      <c r="H1" s="90"/>
      <c r="I1" s="91" t="s">
        <v>122</v>
      </c>
      <c r="J1" s="89" t="s">
        <v>123</v>
      </c>
    </row>
    <row r="2" spans="1:10" ht="30" customHeight="1">
      <c r="A2" s="92">
        <v>1</v>
      </c>
      <c r="B2" s="93" t="s">
        <v>124</v>
      </c>
      <c r="C2" s="94">
        <v>1</v>
      </c>
      <c r="D2" s="90"/>
      <c r="E2" s="368" t="s">
        <v>125</v>
      </c>
      <c r="F2" s="369"/>
      <c r="G2" s="94">
        <v>1.3</v>
      </c>
      <c r="H2" s="90"/>
      <c r="I2" s="95" t="s">
        <v>126</v>
      </c>
      <c r="J2" s="94">
        <v>1</v>
      </c>
    </row>
    <row r="3" spans="1:10" ht="30" customHeight="1">
      <c r="A3" s="92">
        <v>2</v>
      </c>
      <c r="B3" s="93" t="s">
        <v>127</v>
      </c>
      <c r="C3" s="94">
        <v>1.1000000000000001</v>
      </c>
      <c r="D3" s="90"/>
      <c r="E3" s="368" t="s">
        <v>128</v>
      </c>
      <c r="F3" s="369"/>
      <c r="G3" s="94">
        <v>1.4</v>
      </c>
      <c r="H3" s="90"/>
      <c r="I3" s="95" t="s">
        <v>129</v>
      </c>
      <c r="J3" s="94">
        <v>0.9</v>
      </c>
    </row>
    <row r="4" spans="1:10" ht="30" customHeight="1">
      <c r="A4" s="92">
        <v>3</v>
      </c>
      <c r="B4" s="93" t="s">
        <v>130</v>
      </c>
      <c r="C4" s="94">
        <v>1.3</v>
      </c>
      <c r="D4" s="90"/>
      <c r="E4" s="368" t="s">
        <v>131</v>
      </c>
      <c r="F4" s="369"/>
      <c r="G4" s="94">
        <v>1.5</v>
      </c>
      <c r="H4" s="90"/>
      <c r="I4" s="95" t="s">
        <v>132</v>
      </c>
      <c r="J4" s="94">
        <v>0.8</v>
      </c>
    </row>
    <row r="5" spans="1:10" ht="50.1" customHeight="1">
      <c r="A5" s="92">
        <v>4</v>
      </c>
      <c r="B5" s="93" t="s">
        <v>133</v>
      </c>
      <c r="C5" s="94">
        <v>1.4</v>
      </c>
      <c r="D5" s="90"/>
      <c r="E5" s="90"/>
      <c r="F5" s="90"/>
      <c r="G5" s="90"/>
      <c r="H5" s="90"/>
      <c r="I5" s="95" t="s">
        <v>134</v>
      </c>
      <c r="J5" s="94">
        <v>0.7</v>
      </c>
    </row>
    <row r="6" spans="1:10" ht="30" customHeight="1">
      <c r="A6" s="90"/>
      <c r="B6" s="90"/>
      <c r="C6" s="90"/>
      <c r="D6" s="90"/>
      <c r="E6" s="90"/>
      <c r="F6" s="90"/>
      <c r="G6" s="90"/>
      <c r="H6" s="90"/>
      <c r="I6" s="95" t="s">
        <v>135</v>
      </c>
      <c r="J6" s="94">
        <v>0.6</v>
      </c>
    </row>
    <row r="7" spans="1:10" ht="30" customHeight="1">
      <c r="A7" s="90"/>
      <c r="B7" s="90"/>
      <c r="C7" s="90"/>
      <c r="D7" s="90"/>
      <c r="E7" s="96"/>
      <c r="F7" s="96"/>
      <c r="G7" s="97"/>
      <c r="H7" s="90"/>
      <c r="I7" s="90"/>
      <c r="J7" s="90"/>
    </row>
    <row r="8" spans="1:10" ht="30" customHeight="1">
      <c r="A8" s="89" t="s">
        <v>118</v>
      </c>
      <c r="B8" s="89" t="s">
        <v>136</v>
      </c>
      <c r="C8" s="89" t="s">
        <v>120</v>
      </c>
      <c r="D8" s="90"/>
      <c r="E8" s="89" t="s">
        <v>118</v>
      </c>
      <c r="F8" s="89" t="s">
        <v>137</v>
      </c>
      <c r="G8" s="89" t="s">
        <v>120</v>
      </c>
      <c r="H8" s="90"/>
      <c r="I8" s="98" t="s">
        <v>138</v>
      </c>
      <c r="J8" s="89" t="s">
        <v>120</v>
      </c>
    </row>
    <row r="9" spans="1:10" ht="30" customHeight="1">
      <c r="A9" s="92">
        <v>1</v>
      </c>
      <c r="B9" s="93" t="s">
        <v>139</v>
      </c>
      <c r="C9" s="94">
        <v>1</v>
      </c>
      <c r="D9" s="90"/>
      <c r="E9" s="92">
        <v>1</v>
      </c>
      <c r="F9" s="93" t="s">
        <v>140</v>
      </c>
      <c r="G9" s="94">
        <v>1</v>
      </c>
      <c r="H9" s="90"/>
      <c r="I9" s="93" t="s">
        <v>141</v>
      </c>
      <c r="J9" s="92">
        <v>1.2</v>
      </c>
    </row>
    <row r="10" spans="1:10" ht="30" customHeight="1">
      <c r="A10" s="92">
        <v>2</v>
      </c>
      <c r="B10" s="93" t="s">
        <v>142</v>
      </c>
      <c r="C10" s="94">
        <v>1.3</v>
      </c>
      <c r="D10" s="90"/>
      <c r="E10" s="92">
        <v>2</v>
      </c>
      <c r="F10" s="93" t="s">
        <v>143</v>
      </c>
      <c r="G10" s="94">
        <v>1.1000000000000001</v>
      </c>
      <c r="H10" s="90"/>
      <c r="I10" s="93" t="s">
        <v>144</v>
      </c>
      <c r="J10" s="92">
        <v>1.5</v>
      </c>
    </row>
    <row r="11" spans="1:10" ht="30" customHeight="1">
      <c r="A11" s="92">
        <v>3</v>
      </c>
      <c r="B11" s="93" t="s">
        <v>145</v>
      </c>
      <c r="C11" s="94">
        <v>1.4</v>
      </c>
      <c r="D11" s="90"/>
      <c r="E11" s="92">
        <v>3</v>
      </c>
      <c r="F11" s="93" t="s">
        <v>146</v>
      </c>
      <c r="G11" s="94">
        <v>1.2</v>
      </c>
      <c r="H11" s="90"/>
      <c r="I11" s="90"/>
      <c r="J11" s="90"/>
    </row>
    <row r="12" spans="1:10" ht="30" customHeight="1">
      <c r="A12" s="92">
        <v>4</v>
      </c>
      <c r="B12" s="93" t="s">
        <v>147</v>
      </c>
      <c r="C12" s="94">
        <v>1.7</v>
      </c>
      <c r="D12" s="90"/>
      <c r="E12" s="92">
        <v>4</v>
      </c>
      <c r="F12" s="93" t="s">
        <v>148</v>
      </c>
      <c r="G12" s="94">
        <v>1.3</v>
      </c>
      <c r="H12" s="90"/>
      <c r="I12" s="90"/>
      <c r="J12" s="90"/>
    </row>
  </sheetData>
  <mergeCells count="4">
    <mergeCell ref="E1:F1"/>
    <mergeCell ref="E2:F2"/>
    <mergeCell ref="E3:F3"/>
    <mergeCell ref="E4:F4"/>
  </mergeCells>
  <phoneticPr fontId="3" type="noConversion"/>
  <pageMargins left="0.7" right="0.7" top="0.75" bottom="0.75" header="0.3" footer="0.3"/>
  <pageSetup paperSize="9" scale="8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13</vt:i4>
      </vt:variant>
    </vt:vector>
  </HeadingPairs>
  <TitlesOfParts>
    <vt:vector size="26" baseType="lpstr">
      <vt:lpstr>개별요인표(답)</vt:lpstr>
      <vt:lpstr>개별요인표(전)</vt:lpstr>
      <vt:lpstr>개별요인표(임야)</vt:lpstr>
      <vt:lpstr>개별요인표(상업)</vt:lpstr>
      <vt:lpstr>개별요인표(주택)</vt:lpstr>
      <vt:lpstr>준주거,유치원</vt:lpstr>
      <vt:lpstr>가격산출근거(가로)</vt:lpstr>
      <vt:lpstr>가격산출근거(가로)-지번2개</vt:lpstr>
      <vt:lpstr>회보서(영암군청용)</vt:lpstr>
      <vt:lpstr>회보서(중토위)</vt:lpstr>
      <vt:lpstr>수수료계산(종가)</vt:lpstr>
      <vt:lpstr>수수료청구서</vt:lpstr>
      <vt:lpstr>할인.할증표</vt:lpstr>
      <vt:lpstr>'가격산출근거(가로)'!Print_Area</vt:lpstr>
      <vt:lpstr>'가격산출근거(가로)-지번2개'!Print_Area</vt:lpstr>
      <vt:lpstr>'개별요인표(답)'!Print_Area</vt:lpstr>
      <vt:lpstr>'개별요인표(상업)'!Print_Area</vt:lpstr>
      <vt:lpstr>'개별요인표(임야)'!Print_Area</vt:lpstr>
      <vt:lpstr>'개별요인표(전)'!Print_Area</vt:lpstr>
      <vt:lpstr>'개별요인표(주택)'!Print_Area</vt:lpstr>
      <vt:lpstr>'준주거,유치원'!Print_Area</vt:lpstr>
      <vt:lpstr>'회보서(영암군청용)'!Print_Area</vt:lpstr>
      <vt:lpstr>'회보서(중토위)'!Print_Area</vt:lpstr>
      <vt:lpstr>'가격산출근거(가로)'!Print_Titles</vt:lpstr>
      <vt:lpstr>'가격산출근거(가로)-지번2개'!Print_Titles</vt:lpstr>
      <vt:lpstr>'준주거,유치원'!Print_Titles</vt:lpstr>
    </vt:vector>
  </TitlesOfParts>
  <Company>미래새한감정평가법인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미래새한감정평가법인</dc:creator>
  <cp:lastModifiedBy>조 규성</cp:lastModifiedBy>
  <cp:lastPrinted>2024-03-08T01:52:49Z</cp:lastPrinted>
  <dcterms:created xsi:type="dcterms:W3CDTF">2011-04-11T05:48:21Z</dcterms:created>
  <dcterms:modified xsi:type="dcterms:W3CDTF">2024-05-09T06:13:24Z</dcterms:modified>
</cp:coreProperties>
</file>